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autoCompressPictures="0" defaultThemeVersion="124226"/>
  <mc:AlternateContent xmlns:mc="http://schemas.openxmlformats.org/markup-compatibility/2006">
    <mc:Choice Requires="x15">
      <x15ac:absPath xmlns:x15ac="http://schemas.microsoft.com/office/spreadsheetml/2010/11/ac" url="S:\Planning Policy - CURRENT 2014\Planning Policy Team\Carolyn Johnson\Temp Files\Website Nov 19\READY\"/>
    </mc:Choice>
  </mc:AlternateContent>
  <bookViews>
    <workbookView xWindow="1245" yWindow="465" windowWidth="28485" windowHeight="18945" tabRatio="730" firstSheet="1" activeTab="4"/>
  </bookViews>
  <sheets>
    <sheet name="Contents" sheetId="39" r:id="rId1"/>
    <sheet name="Tables" sheetId="28" r:id="rId2"/>
    <sheet name="Inflation" sheetId="38" r:id="rId3"/>
    <sheet name="Grants" sheetId="32" r:id="rId4"/>
    <sheet name="DCF analysis" sheetId="31" r:id="rId5"/>
    <sheet name="Consol" sheetId="26" r:id="rId6"/>
    <sheet name="Cover" sheetId="19" r:id="rId7"/>
    <sheet name="1. Landuse" sheetId="11" r:id="rId8"/>
    <sheet name="2.  Scheme Wide" sheetId="13" r:id="rId9"/>
    <sheet name="3. Site Based" sheetId="21" r:id="rId10"/>
    <sheet name="4. Dev Phasing" sheetId="2" r:id="rId11"/>
    <sheet name="6. Baseline Appraisal" sheetId="16" r:id="rId12"/>
    <sheet name="8. Site Values" sheetId="18" r:id="rId13"/>
  </sheets>
  <definedNames>
    <definedName name="_xlnm.Print_Area" localSheetId="12">'8. Site Values'!$B$1:$N$116</definedName>
    <definedName name="_xlnm.Print_Area" localSheetId="5">Consol!$A$1:$H$37</definedName>
    <definedName name="_xlnm.Print_Titles" localSheetId="10">'4. Dev Phasing'!$A:$C,'4. Dev Phasing'!$1:$3</definedName>
    <definedName name="_xlnm.Print_Titles" localSheetId="12">'8. Site Values'!$A:$C,'8. Site Values'!$1:$3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31" l="1"/>
  <c r="A12" i="31" l="1"/>
  <c r="A8" i="31"/>
  <c r="C116" i="16" l="1"/>
  <c r="H34" i="26" l="1"/>
  <c r="D52" i="38"/>
  <c r="F51" i="38"/>
  <c r="G51" i="38" s="1"/>
  <c r="F50" i="38"/>
  <c r="G50" i="38" s="1"/>
  <c r="G52" i="38" s="1"/>
  <c r="D43" i="38"/>
  <c r="E43" i="38" s="1"/>
  <c r="D42" i="38"/>
  <c r="E42" i="38" s="1"/>
  <c r="D41" i="38"/>
  <c r="E41" i="38" s="1"/>
  <c r="D14" i="38"/>
  <c r="E12" i="38"/>
  <c r="D12" i="38"/>
  <c r="D11" i="38"/>
  <c r="D10" i="38"/>
  <c r="D9" i="38"/>
  <c r="D8" i="38"/>
  <c r="D7" i="38"/>
  <c r="D6" i="38"/>
  <c r="I266" i="28" l="1"/>
  <c r="F266" i="28"/>
  <c r="G266" i="28"/>
  <c r="H266" i="28"/>
  <c r="E266" i="28"/>
  <c r="D12" i="31" l="1"/>
  <c r="D8" i="31"/>
  <c r="D276" i="28" l="1"/>
  <c r="C276" i="28"/>
  <c r="K24" i="31" l="1"/>
  <c r="F35" i="31" l="1"/>
  <c r="K35" i="31" s="1"/>
  <c r="F221" i="28"/>
  <c r="K36" i="31"/>
  <c r="P116" i="16"/>
  <c r="O116" i="16"/>
  <c r="N116" i="16"/>
  <c r="M116" i="16"/>
  <c r="L116" i="16"/>
  <c r="K116" i="16"/>
  <c r="J116" i="16"/>
  <c r="I116" i="16"/>
  <c r="H116" i="16"/>
  <c r="G116" i="16"/>
  <c r="F116" i="16"/>
  <c r="F66" i="28" l="1"/>
  <c r="G66" i="28"/>
  <c r="G18" i="32"/>
  <c r="F18" i="32"/>
  <c r="O60" i="28"/>
  <c r="P61" i="28"/>
  <c r="P60" i="28"/>
  <c r="N60" i="28"/>
  <c r="P58" i="28"/>
  <c r="O58" i="28"/>
  <c r="N58" i="28"/>
  <c r="D15" i="28" l="1"/>
  <c r="D266" i="28" l="1"/>
  <c r="D253" i="28"/>
  <c r="D13" i="28"/>
  <c r="D4" i="28"/>
  <c r="E244" i="28"/>
  <c r="E248" i="28" s="1"/>
  <c r="D244" i="28"/>
  <c r="D248" i="28" s="1"/>
  <c r="C244" i="28"/>
  <c r="C248" i="28" s="1"/>
  <c r="E230" i="28"/>
  <c r="E234" i="28" s="1"/>
  <c r="D230" i="28"/>
  <c r="D234" i="28" s="1"/>
  <c r="C230" i="28"/>
  <c r="C234" i="28" s="1"/>
  <c r="E221" i="28"/>
  <c r="D221" i="28"/>
  <c r="C221" i="28"/>
  <c r="G50" i="28" l="1"/>
  <c r="E50" i="28"/>
  <c r="F50" i="28"/>
  <c r="C196" i="28"/>
  <c r="C195" i="28"/>
  <c r="C194" i="28"/>
  <c r="D50" i="28" l="1"/>
  <c r="D199" i="28" l="1"/>
  <c r="C202" i="28"/>
  <c r="D194" i="28" l="1"/>
  <c r="I32" i="26"/>
  <c r="N59" i="28" l="1"/>
  <c r="BO25" i="31" l="1"/>
  <c r="BV25" i="31"/>
  <c r="CC25" i="31"/>
  <c r="BA25" i="31"/>
  <c r="AT25" i="31"/>
  <c r="AM25" i="31"/>
  <c r="AF25" i="31"/>
  <c r="R25" i="31"/>
  <c r="Y25" i="31" l="1"/>
  <c r="BH25" i="31"/>
  <c r="K25" i="31"/>
  <c r="F25" i="31" s="1"/>
  <c r="D47" i="28"/>
  <c r="D46" i="28"/>
  <c r="F108" i="32"/>
  <c r="F110" i="32" s="1"/>
  <c r="F112" i="32" s="1"/>
  <c r="G110" i="32"/>
  <c r="G112" i="32" s="1"/>
  <c r="C25" i="31" l="1"/>
  <c r="D25" i="31" s="1"/>
  <c r="D48" i="28"/>
  <c r="D108" i="32"/>
  <c r="F20" i="32" l="1"/>
  <c r="D17" i="32"/>
  <c r="E15" i="32"/>
  <c r="E109" i="32" s="1"/>
  <c r="F14" i="32"/>
  <c r="F13" i="32"/>
  <c r="F12" i="32"/>
  <c r="F15" i="32" s="1"/>
  <c r="G11" i="32"/>
  <c r="G10" i="32"/>
  <c r="G9" i="32"/>
  <c r="G20" i="32" l="1"/>
  <c r="E110" i="32"/>
  <c r="E112" i="32" s="1"/>
  <c r="D109" i="32"/>
  <c r="D110" i="32" s="1"/>
  <c r="D112" i="32" s="1"/>
  <c r="G12" i="32"/>
  <c r="G14" i="32"/>
  <c r="G39" i="28"/>
  <c r="F39" i="28"/>
  <c r="E39" i="28"/>
  <c r="G38" i="28"/>
  <c r="F38" i="28"/>
  <c r="E38" i="28"/>
  <c r="G15" i="32" l="1"/>
  <c r="D15" i="32" s="1"/>
  <c r="D39" i="28"/>
  <c r="D38" i="28"/>
  <c r="D14" i="28"/>
  <c r="D5" i="28"/>
  <c r="D3" i="28"/>
  <c r="D40" i="28" s="1"/>
  <c r="I5" i="28" l="1"/>
  <c r="K28" i="28" l="1"/>
  <c r="G85" i="28" l="1"/>
  <c r="F85" i="28"/>
  <c r="E85" i="28"/>
  <c r="H84" i="28"/>
  <c r="H85" i="28" l="1"/>
  <c r="G82" i="28"/>
  <c r="F82" i="28"/>
  <c r="E82" i="28"/>
  <c r="H81" i="28"/>
  <c r="H82" i="28" l="1"/>
  <c r="F12" i="31" l="1"/>
  <c r="C12" i="31"/>
  <c r="F8" i="31"/>
  <c r="C8" i="31"/>
  <c r="N25" i="26"/>
  <c r="M25" i="26"/>
  <c r="K40" i="18"/>
  <c r="L40" i="18" s="1"/>
  <c r="H40" i="18"/>
  <c r="G40" i="18"/>
  <c r="F40" i="18"/>
  <c r="E40" i="18"/>
  <c r="L1" i="18"/>
  <c r="I27" i="26"/>
  <c r="I10" i="26"/>
  <c r="I16" i="26" s="1"/>
  <c r="I29" i="26" l="1"/>
  <c r="I35" i="26" s="1"/>
  <c r="H89" i="16" l="1"/>
  <c r="I89" i="16"/>
  <c r="D107" i="16"/>
  <c r="O22" i="31" l="1"/>
  <c r="L22" i="31"/>
  <c r="P22" i="31"/>
  <c r="N22" i="31"/>
  <c r="M22" i="31"/>
  <c r="Q22" i="31"/>
  <c r="E148" i="28"/>
  <c r="E147" i="28"/>
  <c r="D148" i="28"/>
  <c r="D147" i="28"/>
  <c r="D9" i="26"/>
  <c r="D8" i="26"/>
  <c r="D149" i="28" l="1"/>
  <c r="E149" i="28"/>
  <c r="D133" i="16"/>
  <c r="G26" i="18"/>
  <c r="G25" i="18"/>
  <c r="G24" i="18"/>
  <c r="G23" i="18"/>
  <c r="G22" i="18"/>
  <c r="G21" i="18"/>
  <c r="G20" i="18"/>
  <c r="G19" i="18"/>
  <c r="G18" i="18"/>
  <c r="G15" i="18"/>
  <c r="G14" i="18"/>
  <c r="G13" i="18"/>
  <c r="G12" i="18"/>
  <c r="G10" i="18"/>
  <c r="G9" i="18"/>
  <c r="G8" i="18"/>
  <c r="G7" i="18"/>
  <c r="F18" i="18"/>
  <c r="F19" i="18"/>
  <c r="F20" i="18"/>
  <c r="F21" i="18"/>
  <c r="F22" i="18"/>
  <c r="F23" i="18"/>
  <c r="F24" i="18"/>
  <c r="F25" i="18"/>
  <c r="F26" i="18"/>
  <c r="E19" i="18"/>
  <c r="E20" i="18"/>
  <c r="E21" i="18"/>
  <c r="E22" i="18"/>
  <c r="E23" i="18"/>
  <c r="E24" i="18"/>
  <c r="E25" i="18"/>
  <c r="E26" i="18"/>
  <c r="E18" i="18"/>
  <c r="F7" i="18"/>
  <c r="F8" i="18"/>
  <c r="F9" i="18"/>
  <c r="F10" i="18"/>
  <c r="F12" i="18"/>
  <c r="F13" i="18"/>
  <c r="F14" i="18"/>
  <c r="F15" i="18"/>
  <c r="E8" i="18"/>
  <c r="E9" i="18"/>
  <c r="E10" i="18"/>
  <c r="E11" i="18"/>
  <c r="F11" i="18" s="1"/>
  <c r="G11" i="18" s="1"/>
  <c r="E12" i="18"/>
  <c r="E13" i="18"/>
  <c r="E14" i="18"/>
  <c r="E15" i="18"/>
  <c r="E7" i="18"/>
  <c r="C88" i="16"/>
  <c r="E130" i="28" l="1"/>
  <c r="E129" i="28"/>
  <c r="E128" i="28"/>
  <c r="E131" i="28" l="1"/>
  <c r="O125" i="16"/>
  <c r="N125" i="16"/>
  <c r="M125" i="16"/>
  <c r="L125" i="16"/>
  <c r="K125" i="16"/>
  <c r="J125" i="16"/>
  <c r="O123" i="16"/>
  <c r="N123" i="16"/>
  <c r="M123" i="16"/>
  <c r="L123" i="16"/>
  <c r="K123" i="16"/>
  <c r="J123" i="16"/>
  <c r="C133" i="16"/>
  <c r="Q125" i="16"/>
  <c r="P125" i="16"/>
  <c r="E89" i="13"/>
  <c r="D89" i="13" s="1"/>
  <c r="D115" i="16"/>
  <c r="P115" i="16"/>
  <c r="V98" i="16"/>
  <c r="R79" i="13"/>
  <c r="CK106" i="16" l="1"/>
  <c r="CJ106" i="16"/>
  <c r="D106" i="16"/>
  <c r="BC15" i="16"/>
  <c r="R66" i="13"/>
  <c r="K116" i="18"/>
  <c r="K115" i="18"/>
  <c r="K114" i="18"/>
  <c r="L114" i="18" s="1"/>
  <c r="G100" i="18" s="1"/>
  <c r="K111" i="18"/>
  <c r="K112" i="18" s="1"/>
  <c r="J102" i="18"/>
  <c r="J101" i="18"/>
  <c r="J100" i="18"/>
  <c r="J97" i="18"/>
  <c r="J98" i="18" s="1"/>
  <c r="K108" i="18"/>
  <c r="J94" i="18"/>
  <c r="F102" i="18"/>
  <c r="F101" i="18"/>
  <c r="F100" i="18"/>
  <c r="F97" i="18"/>
  <c r="E98" i="18"/>
  <c r="F98" i="18" s="1"/>
  <c r="E97" i="18"/>
  <c r="E94" i="18"/>
  <c r="F94" i="18" s="1"/>
  <c r="D104" i="18"/>
  <c r="CK66" i="13"/>
  <c r="CJ66" i="13"/>
  <c r="CI66" i="13"/>
  <c r="CH66" i="13"/>
  <c r="CG66" i="13"/>
  <c r="CF66" i="13"/>
  <c r="CE66" i="13"/>
  <c r="CD66" i="13"/>
  <c r="CC66" i="13"/>
  <c r="CB66" i="13"/>
  <c r="CA66" i="13"/>
  <c r="BZ66" i="13"/>
  <c r="BY66" i="13"/>
  <c r="BX66" i="13"/>
  <c r="BW66" i="13"/>
  <c r="BV66" i="13"/>
  <c r="BU66" i="13"/>
  <c r="BT66" i="13"/>
  <c r="BS66" i="13"/>
  <c r="BR66" i="13"/>
  <c r="BQ66" i="13"/>
  <c r="BO66" i="13"/>
  <c r="BN66" i="13"/>
  <c r="BM66" i="13"/>
  <c r="BK66" i="13"/>
  <c r="BJ66" i="13"/>
  <c r="BI66" i="13"/>
  <c r="BG66" i="13"/>
  <c r="BF66" i="13"/>
  <c r="BE66" i="13"/>
  <c r="BC66" i="13"/>
  <c r="BB66" i="13"/>
  <c r="BA66" i="13"/>
  <c r="AY66" i="13"/>
  <c r="AX66" i="13"/>
  <c r="AW66" i="13"/>
  <c r="AU66" i="13"/>
  <c r="AT66" i="13"/>
  <c r="AS66" i="13"/>
  <c r="AQ66" i="13"/>
  <c r="AP66" i="13"/>
  <c r="AO66" i="13"/>
  <c r="AM66" i="13"/>
  <c r="AL66" i="13"/>
  <c r="AK66" i="13"/>
  <c r="AI66" i="13"/>
  <c r="AH66" i="13"/>
  <c r="AG66" i="13"/>
  <c r="AE66" i="13"/>
  <c r="AD66" i="13"/>
  <c r="AC66" i="13"/>
  <c r="AB66" i="13"/>
  <c r="Z66" i="13"/>
  <c r="Y66" i="13"/>
  <c r="X66" i="13"/>
  <c r="U66" i="13"/>
  <c r="T66" i="13"/>
  <c r="BG75" i="13"/>
  <c r="AS86" i="13"/>
  <c r="R86" i="13"/>
  <c r="Q86" i="13"/>
  <c r="P86" i="13"/>
  <c r="O86" i="13"/>
  <c r="Q85" i="13"/>
  <c r="P85" i="13"/>
  <c r="O85" i="13"/>
  <c r="Q84" i="13"/>
  <c r="P84" i="13"/>
  <c r="O84" i="13"/>
  <c r="E86" i="13"/>
  <c r="E85" i="13"/>
  <c r="O83" i="13"/>
  <c r="Q83" i="13"/>
  <c r="P83" i="13"/>
  <c r="CA79" i="13"/>
  <c r="CE79" i="13"/>
  <c r="D82" i="13"/>
  <c r="D81" i="13"/>
  <c r="D75" i="13"/>
  <c r="D74" i="13"/>
  <c r="D73" i="13"/>
  <c r="D72" i="13"/>
  <c r="D68" i="13"/>
  <c r="D67" i="13"/>
  <c r="D65" i="13"/>
  <c r="D64" i="13"/>
  <c r="D63" i="13"/>
  <c r="D62" i="13"/>
  <c r="D61" i="13"/>
  <c r="D59" i="13"/>
  <c r="D60" i="13"/>
  <c r="CL80" i="13"/>
  <c r="CL78" i="13"/>
  <c r="CL77" i="13"/>
  <c r="CL76" i="13"/>
  <c r="Q77" i="13"/>
  <c r="R77" i="13"/>
  <c r="Q78" i="13"/>
  <c r="R78" i="13"/>
  <c r="Q79" i="13"/>
  <c r="D79" i="13" s="1"/>
  <c r="Q80" i="13"/>
  <c r="R80" i="13"/>
  <c r="Q76" i="13"/>
  <c r="R76" i="13"/>
  <c r="CK80" i="13"/>
  <c r="CJ80" i="13"/>
  <c r="CI80" i="13"/>
  <c r="CH80" i="13"/>
  <c r="CG80" i="13"/>
  <c r="CF80" i="13"/>
  <c r="CE80" i="13"/>
  <c r="CD80" i="13"/>
  <c r="CC80" i="13"/>
  <c r="CB80" i="13"/>
  <c r="CA80" i="13"/>
  <c r="BZ80" i="13"/>
  <c r="BY80" i="13"/>
  <c r="BX80" i="13"/>
  <c r="BW80" i="13"/>
  <c r="BV80" i="13"/>
  <c r="BU80" i="13"/>
  <c r="BT80" i="13"/>
  <c r="BS80" i="13"/>
  <c r="BR80" i="13"/>
  <c r="BQ80" i="13"/>
  <c r="BP80" i="13"/>
  <c r="BO80" i="13"/>
  <c r="BN80" i="13"/>
  <c r="BM80" i="13"/>
  <c r="BL80" i="13"/>
  <c r="BK80" i="13"/>
  <c r="BJ80" i="13"/>
  <c r="BI80" i="13"/>
  <c r="BH80" i="13"/>
  <c r="BG80" i="13"/>
  <c r="BF80" i="13"/>
  <c r="BE80" i="13"/>
  <c r="BD80" i="13"/>
  <c r="BC80" i="13"/>
  <c r="BB80" i="13"/>
  <c r="BA80" i="13"/>
  <c r="AZ80" i="13"/>
  <c r="AY80" i="13"/>
  <c r="AX80" i="13"/>
  <c r="AW80" i="13"/>
  <c r="AV80" i="13"/>
  <c r="AU80" i="13"/>
  <c r="AT80" i="13"/>
  <c r="AS80" i="13"/>
  <c r="AR80" i="13"/>
  <c r="AQ80" i="13"/>
  <c r="AP80" i="13"/>
  <c r="AO80" i="13"/>
  <c r="AN80" i="13"/>
  <c r="AM80" i="13"/>
  <c r="AL80" i="13"/>
  <c r="AK80" i="13"/>
  <c r="AJ80" i="13"/>
  <c r="AI80" i="13"/>
  <c r="AH80" i="13"/>
  <c r="AG80" i="13"/>
  <c r="AF80" i="13"/>
  <c r="AE80" i="13"/>
  <c r="AD80" i="13"/>
  <c r="AC80" i="13"/>
  <c r="AB80" i="13"/>
  <c r="AA80" i="13"/>
  <c r="Z80" i="13"/>
  <c r="Y80" i="13"/>
  <c r="X80" i="13"/>
  <c r="W80" i="13"/>
  <c r="V80" i="13"/>
  <c r="U80" i="13"/>
  <c r="T80" i="13"/>
  <c r="S80" i="13"/>
  <c r="CK78" i="13"/>
  <c r="CJ78" i="13"/>
  <c r="CI78" i="13"/>
  <c r="CH78" i="13"/>
  <c r="CG78" i="13"/>
  <c r="CF78" i="13"/>
  <c r="CE78" i="13"/>
  <c r="CD78" i="13"/>
  <c r="CC78" i="13"/>
  <c r="CB78" i="13"/>
  <c r="CA78" i="13"/>
  <c r="BZ78" i="13"/>
  <c r="BY78" i="13"/>
  <c r="BX78" i="13"/>
  <c r="BW78" i="13"/>
  <c r="BV78" i="13"/>
  <c r="BU78" i="13"/>
  <c r="BT78" i="13"/>
  <c r="BS78" i="13"/>
  <c r="BR78" i="13"/>
  <c r="BQ78" i="13"/>
  <c r="BP78" i="13"/>
  <c r="BO78" i="13"/>
  <c r="BN78" i="13"/>
  <c r="BM78" i="13"/>
  <c r="BL78" i="13"/>
  <c r="BK78" i="13"/>
  <c r="BJ78" i="13"/>
  <c r="BI78" i="13"/>
  <c r="BH78" i="13"/>
  <c r="BG78" i="13"/>
  <c r="BF78" i="13"/>
  <c r="BE78" i="13"/>
  <c r="BD78" i="13"/>
  <c r="BC78" i="13"/>
  <c r="BB78" i="13"/>
  <c r="BA78" i="13"/>
  <c r="AZ78" i="13"/>
  <c r="AY78" i="13"/>
  <c r="AX78" i="13"/>
  <c r="AW78" i="13"/>
  <c r="AV78" i="13"/>
  <c r="AU78" i="13"/>
  <c r="AT78" i="13"/>
  <c r="AS78" i="13"/>
  <c r="AR78" i="13"/>
  <c r="AQ78" i="13"/>
  <c r="AP78" i="13"/>
  <c r="AO78" i="13"/>
  <c r="AN78" i="13"/>
  <c r="AM78" i="13"/>
  <c r="AL78" i="13"/>
  <c r="AK78" i="13"/>
  <c r="AJ78" i="13"/>
  <c r="AI78" i="13"/>
  <c r="AH78" i="13"/>
  <c r="AG78" i="13"/>
  <c r="AF78" i="13"/>
  <c r="AE78" i="13"/>
  <c r="AD78" i="13"/>
  <c r="AC78" i="13"/>
  <c r="AB78" i="13"/>
  <c r="AA78" i="13"/>
  <c r="Z78" i="13"/>
  <c r="Y78" i="13"/>
  <c r="X78" i="13"/>
  <c r="W78" i="13"/>
  <c r="V78" i="13"/>
  <c r="U78" i="13"/>
  <c r="T78" i="13"/>
  <c r="S78" i="13"/>
  <c r="CK77" i="13"/>
  <c r="CJ77" i="13"/>
  <c r="CI77" i="13"/>
  <c r="CH77" i="13"/>
  <c r="CG77" i="13"/>
  <c r="CF77" i="13"/>
  <c r="CE77" i="13"/>
  <c r="CD77" i="13"/>
  <c r="CC77" i="13"/>
  <c r="CB77" i="13"/>
  <c r="CA77" i="13"/>
  <c r="BZ77" i="13"/>
  <c r="BY77" i="13"/>
  <c r="BX77" i="13"/>
  <c r="BW77" i="13"/>
  <c r="BV77" i="13"/>
  <c r="BU77" i="13"/>
  <c r="BT77" i="13"/>
  <c r="BS77" i="13"/>
  <c r="BR77" i="13"/>
  <c r="BQ77" i="13"/>
  <c r="BP77" i="13"/>
  <c r="BO77" i="13"/>
  <c r="BN77" i="13"/>
  <c r="BM77" i="13"/>
  <c r="BL77" i="13"/>
  <c r="BK77" i="13"/>
  <c r="BJ77" i="13"/>
  <c r="BI77" i="13"/>
  <c r="BH77" i="13"/>
  <c r="BG77" i="13"/>
  <c r="BF77" i="13"/>
  <c r="BE77" i="13"/>
  <c r="BD77" i="13"/>
  <c r="BC77" i="13"/>
  <c r="BB77" i="13"/>
  <c r="BA77" i="13"/>
  <c r="AZ77" i="13"/>
  <c r="AY77" i="13"/>
  <c r="AX77" i="13"/>
  <c r="AW77" i="13"/>
  <c r="AV77" i="13"/>
  <c r="AU77" i="13"/>
  <c r="AT77" i="13"/>
  <c r="AS77" i="13"/>
  <c r="AR77" i="13"/>
  <c r="AQ77" i="13"/>
  <c r="AP77" i="13"/>
  <c r="AO77" i="13"/>
  <c r="AN77" i="13"/>
  <c r="AM77" i="13"/>
  <c r="AL77" i="13"/>
  <c r="AK77" i="13"/>
  <c r="AJ77" i="13"/>
  <c r="AI77" i="13"/>
  <c r="AH77" i="13"/>
  <c r="AG77" i="13"/>
  <c r="AF77" i="13"/>
  <c r="AE77" i="13"/>
  <c r="AD77" i="13"/>
  <c r="AC77" i="13"/>
  <c r="AB77" i="13"/>
  <c r="AA77" i="13"/>
  <c r="Z77" i="13"/>
  <c r="Y77" i="13"/>
  <c r="X77" i="13"/>
  <c r="W77" i="13"/>
  <c r="V77" i="13"/>
  <c r="U77" i="13"/>
  <c r="T77" i="13"/>
  <c r="S77" i="13"/>
  <c r="CK76" i="13"/>
  <c r="CJ76" i="13"/>
  <c r="CI76" i="13"/>
  <c r="CH76" i="13"/>
  <c r="CG76" i="13"/>
  <c r="CF76" i="13"/>
  <c r="CE76" i="13"/>
  <c r="CD76" i="13"/>
  <c r="CC76" i="13"/>
  <c r="CB76" i="13"/>
  <c r="CA76" i="13"/>
  <c r="BZ76" i="13"/>
  <c r="BY76" i="13"/>
  <c r="BX76" i="13"/>
  <c r="BW76" i="13"/>
  <c r="BV76" i="13"/>
  <c r="BU76" i="13"/>
  <c r="BT76" i="13"/>
  <c r="BS76" i="13"/>
  <c r="BR76" i="13"/>
  <c r="BQ76" i="13"/>
  <c r="BP76" i="13"/>
  <c r="BO76" i="13"/>
  <c r="BN76" i="13"/>
  <c r="BM76" i="13"/>
  <c r="BL76" i="13"/>
  <c r="BK76" i="13"/>
  <c r="BJ76" i="13"/>
  <c r="BI76" i="13"/>
  <c r="BH76" i="13"/>
  <c r="BG76" i="13"/>
  <c r="BF76" i="13"/>
  <c r="BE76" i="13"/>
  <c r="BD76" i="13"/>
  <c r="BC76" i="13"/>
  <c r="BB76" i="13"/>
  <c r="BA76" i="13"/>
  <c r="AZ76" i="13"/>
  <c r="AY76" i="13"/>
  <c r="AX76"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W76" i="13"/>
  <c r="V76" i="13"/>
  <c r="U76" i="13"/>
  <c r="T76" i="13"/>
  <c r="S76" i="13"/>
  <c r="D7" i="2"/>
  <c r="E7" i="2"/>
  <c r="Z55" i="13"/>
  <c r="U71" i="13"/>
  <c r="U70" i="13"/>
  <c r="T69" i="13"/>
  <c r="T70" i="13"/>
  <c r="S70" i="13"/>
  <c r="S69" i="13"/>
  <c r="D57" i="13"/>
  <c r="D56" i="13"/>
  <c r="CK58" i="13"/>
  <c r="CK86" i="13" s="1"/>
  <c r="CJ58" i="13"/>
  <c r="CJ86" i="13" s="1"/>
  <c r="CI58" i="13"/>
  <c r="CI86" i="13" s="1"/>
  <c r="CH58" i="13"/>
  <c r="CH86" i="13" s="1"/>
  <c r="CG58" i="13"/>
  <c r="CG86" i="13" s="1"/>
  <c r="CF58" i="13"/>
  <c r="CF86" i="13" s="1"/>
  <c r="CE58" i="13"/>
  <c r="CE86" i="13" s="1"/>
  <c r="CD58" i="13"/>
  <c r="CD86" i="13" s="1"/>
  <c r="CC58" i="13"/>
  <c r="CC86" i="13" s="1"/>
  <c r="CB58" i="13"/>
  <c r="CB86" i="13" s="1"/>
  <c r="CA58" i="13"/>
  <c r="CA86" i="13" s="1"/>
  <c r="BZ58" i="13"/>
  <c r="BZ86" i="13" s="1"/>
  <c r="BY58" i="13"/>
  <c r="BY86" i="13" s="1"/>
  <c r="BX58" i="13"/>
  <c r="BX86" i="13" s="1"/>
  <c r="BW58" i="13"/>
  <c r="BW86" i="13" s="1"/>
  <c r="BV58" i="13"/>
  <c r="BV86" i="13" s="1"/>
  <c r="BU58" i="13"/>
  <c r="BU86" i="13" s="1"/>
  <c r="BT58" i="13"/>
  <c r="BT86" i="13" s="1"/>
  <c r="BS58" i="13"/>
  <c r="BS86" i="13" s="1"/>
  <c r="BR58" i="13"/>
  <c r="BR86" i="13" s="1"/>
  <c r="BQ58" i="13"/>
  <c r="BQ86" i="13" s="1"/>
  <c r="BP58" i="13"/>
  <c r="BP86" i="13" s="1"/>
  <c r="BO58" i="13"/>
  <c r="BO86" i="13" s="1"/>
  <c r="BN58" i="13"/>
  <c r="BN86" i="13" s="1"/>
  <c r="BM58" i="13"/>
  <c r="BM86" i="13" s="1"/>
  <c r="BL58" i="13"/>
  <c r="BL86" i="13" s="1"/>
  <c r="BK58" i="13"/>
  <c r="BK86" i="13" s="1"/>
  <c r="BJ58" i="13"/>
  <c r="BJ86" i="13" s="1"/>
  <c r="BI58" i="13"/>
  <c r="BI86" i="13" s="1"/>
  <c r="BH58" i="13"/>
  <c r="BH86" i="13" s="1"/>
  <c r="BG58" i="13"/>
  <c r="BG86" i="13" s="1"/>
  <c r="BF58" i="13"/>
  <c r="BF86" i="13" s="1"/>
  <c r="BE58" i="13"/>
  <c r="BE86" i="13" s="1"/>
  <c r="BD58" i="13"/>
  <c r="BD86" i="13" s="1"/>
  <c r="BC58" i="13"/>
  <c r="BC86" i="13" s="1"/>
  <c r="BB58" i="13"/>
  <c r="BB86" i="13" s="1"/>
  <c r="BA58" i="13"/>
  <c r="BA86" i="13" s="1"/>
  <c r="AZ58" i="13"/>
  <c r="AZ86" i="13" s="1"/>
  <c r="AY58" i="13"/>
  <c r="AY86" i="13" s="1"/>
  <c r="AX58" i="13"/>
  <c r="AX86" i="13" s="1"/>
  <c r="AW58" i="13"/>
  <c r="AW86" i="13" s="1"/>
  <c r="AV58" i="13"/>
  <c r="AV86" i="13" s="1"/>
  <c r="AU58" i="13"/>
  <c r="AU86" i="13" s="1"/>
  <c r="AT58" i="13"/>
  <c r="AT86" i="13" s="1"/>
  <c r="AS58" i="13"/>
  <c r="AR58" i="13"/>
  <c r="AR86" i="13" s="1"/>
  <c r="AQ58" i="13"/>
  <c r="AQ86" i="13" s="1"/>
  <c r="AP58" i="13"/>
  <c r="AP86" i="13" s="1"/>
  <c r="AO58" i="13"/>
  <c r="AO86" i="13" s="1"/>
  <c r="AN58" i="13"/>
  <c r="AN86" i="13" s="1"/>
  <c r="AM58" i="13"/>
  <c r="AM86" i="13" s="1"/>
  <c r="AL58" i="13"/>
  <c r="AL86" i="13" s="1"/>
  <c r="AK58" i="13"/>
  <c r="AK86" i="13" s="1"/>
  <c r="AJ58" i="13"/>
  <c r="AJ86" i="13" s="1"/>
  <c r="AI58" i="13"/>
  <c r="AI86" i="13" s="1"/>
  <c r="AH58" i="13"/>
  <c r="AH86" i="13" s="1"/>
  <c r="AG58" i="13"/>
  <c r="AG86" i="13" s="1"/>
  <c r="AF58" i="13"/>
  <c r="AF86" i="13" s="1"/>
  <c r="AE58" i="13"/>
  <c r="AE86" i="13" s="1"/>
  <c r="AD58" i="13"/>
  <c r="AD86" i="13" s="1"/>
  <c r="AC58" i="13"/>
  <c r="AC86" i="13" s="1"/>
  <c r="AB58" i="13"/>
  <c r="AB86" i="13" s="1"/>
  <c r="AA58" i="13"/>
  <c r="AA86" i="13" s="1"/>
  <c r="Z58" i="13"/>
  <c r="Z86" i="13" s="1"/>
  <c r="Y58" i="13"/>
  <c r="Y86" i="13" s="1"/>
  <c r="X58" i="13"/>
  <c r="X86" i="13" s="1"/>
  <c r="W58" i="13"/>
  <c r="W86" i="13" s="1"/>
  <c r="V58" i="13"/>
  <c r="V86" i="13" s="1"/>
  <c r="U58" i="13"/>
  <c r="U86" i="13" s="1"/>
  <c r="T58" i="13"/>
  <c r="T86" i="13" s="1"/>
  <c r="S58" i="13"/>
  <c r="S54" i="13"/>
  <c r="S85" i="13" s="1"/>
  <c r="T54" i="13"/>
  <c r="T85" i="13" s="1"/>
  <c r="U54" i="13"/>
  <c r="U85" i="13" s="1"/>
  <c r="V54" i="13"/>
  <c r="V85" i="13" s="1"/>
  <c r="W54" i="13"/>
  <c r="W85" i="13" s="1"/>
  <c r="X54" i="13"/>
  <c r="X85" i="13" s="1"/>
  <c r="Y54" i="13"/>
  <c r="Z54" i="13"/>
  <c r="Z84" i="13" s="1"/>
  <c r="Z125" i="16" s="1"/>
  <c r="AA54" i="13"/>
  <c r="AA83" i="13" s="1"/>
  <c r="AB54" i="13"/>
  <c r="AB83" i="13" s="1"/>
  <c r="AC54" i="13"/>
  <c r="AC83" i="13" s="1"/>
  <c r="AD54" i="13"/>
  <c r="AD85" i="13" s="1"/>
  <c r="AE54" i="13"/>
  <c r="AE85" i="13" s="1"/>
  <c r="AF54" i="13"/>
  <c r="AG54" i="13"/>
  <c r="AH54" i="13"/>
  <c r="AH84" i="13" s="1"/>
  <c r="AH125" i="16" s="1"/>
  <c r="AI54" i="13"/>
  <c r="AI83" i="13" s="1"/>
  <c r="AJ54" i="13"/>
  <c r="AJ83" i="13" s="1"/>
  <c r="AK54" i="13"/>
  <c r="AK83" i="13" s="1"/>
  <c r="AL54" i="13"/>
  <c r="AL85" i="13" s="1"/>
  <c r="AM54" i="13"/>
  <c r="AM85" i="13" s="1"/>
  <c r="AN54" i="13"/>
  <c r="AN85" i="13" s="1"/>
  <c r="AO54" i="13"/>
  <c r="AO85" i="13" s="1"/>
  <c r="AP54" i="13"/>
  <c r="AP84" i="13" s="1"/>
  <c r="AP125" i="16" s="1"/>
  <c r="AQ54" i="13"/>
  <c r="AQ83" i="13" s="1"/>
  <c r="AR54" i="13"/>
  <c r="AR84" i="13" s="1"/>
  <c r="AR125" i="16" s="1"/>
  <c r="AS54" i="13"/>
  <c r="AS83" i="13" s="1"/>
  <c r="AT54" i="13"/>
  <c r="AT85" i="13" s="1"/>
  <c r="AU54" i="13"/>
  <c r="AU85" i="13" s="1"/>
  <c r="AV54" i="13"/>
  <c r="AV85" i="13" s="1"/>
  <c r="AW54" i="13"/>
  <c r="AW84" i="13" s="1"/>
  <c r="AW125" i="16" s="1"/>
  <c r="AX54" i="13"/>
  <c r="AX84" i="13" s="1"/>
  <c r="AX125" i="16" s="1"/>
  <c r="AY54" i="13"/>
  <c r="AY83" i="13" s="1"/>
  <c r="AZ54" i="13"/>
  <c r="AZ83" i="13" s="1"/>
  <c r="BA54" i="13"/>
  <c r="BA83" i="13" s="1"/>
  <c r="BB54" i="13"/>
  <c r="BB85" i="13" s="1"/>
  <c r="BC54" i="13"/>
  <c r="BC85" i="13" s="1"/>
  <c r="BD54" i="13"/>
  <c r="BD85" i="13" s="1"/>
  <c r="BE54" i="13"/>
  <c r="BE84" i="13" s="1"/>
  <c r="BE125" i="16" s="1"/>
  <c r="BF54" i="13"/>
  <c r="BF84" i="13" s="1"/>
  <c r="BF125" i="16" s="1"/>
  <c r="BG54" i="13"/>
  <c r="BG83" i="13" s="1"/>
  <c r="BH54" i="13"/>
  <c r="BH83" i="13" s="1"/>
  <c r="BI54" i="13"/>
  <c r="BI83" i="13" s="1"/>
  <c r="BJ54" i="13"/>
  <c r="BJ85" i="13" s="1"/>
  <c r="BK54" i="13"/>
  <c r="BK85" i="13" s="1"/>
  <c r="BL54" i="13"/>
  <c r="BM54" i="13"/>
  <c r="BM84" i="13" s="1"/>
  <c r="BM125" i="16" s="1"/>
  <c r="BN54" i="13"/>
  <c r="BN84" i="13" s="1"/>
  <c r="BN125" i="16" s="1"/>
  <c r="BO54" i="13"/>
  <c r="BO83" i="13" s="1"/>
  <c r="BP54" i="13"/>
  <c r="BP83" i="13" s="1"/>
  <c r="BQ54" i="13"/>
  <c r="BQ83" i="13" s="1"/>
  <c r="BR54" i="13"/>
  <c r="BR85" i="13" s="1"/>
  <c r="BS54" i="13"/>
  <c r="BS85" i="13" s="1"/>
  <c r="BT54" i="13"/>
  <c r="BT85" i="13" s="1"/>
  <c r="BU54" i="13"/>
  <c r="BU84" i="13" s="1"/>
  <c r="BU125" i="16" s="1"/>
  <c r="BV54" i="13"/>
  <c r="BV84" i="13" s="1"/>
  <c r="BV125" i="16" s="1"/>
  <c r="BW54" i="13"/>
  <c r="BW83" i="13" s="1"/>
  <c r="BX54" i="13"/>
  <c r="BX83" i="13" s="1"/>
  <c r="BY54" i="13"/>
  <c r="BY83" i="13" s="1"/>
  <c r="BZ54" i="13"/>
  <c r="BZ85" i="13" s="1"/>
  <c r="CA54" i="13"/>
  <c r="CA85" i="13" s="1"/>
  <c r="CB54" i="13"/>
  <c r="CB85" i="13" s="1"/>
  <c r="CC54" i="13"/>
  <c r="CC84" i="13" s="1"/>
  <c r="CC125" i="16" s="1"/>
  <c r="CD54" i="13"/>
  <c r="CD84" i="13" s="1"/>
  <c r="CD125" i="16" s="1"/>
  <c r="CE54" i="13"/>
  <c r="CE83" i="13" s="1"/>
  <c r="CF54" i="13"/>
  <c r="CF83" i="13" s="1"/>
  <c r="CG54" i="13"/>
  <c r="CG83" i="13" s="1"/>
  <c r="CH54" i="13"/>
  <c r="CH85" i="13" s="1"/>
  <c r="CI54" i="13"/>
  <c r="CI85" i="13" s="1"/>
  <c r="CJ54" i="13"/>
  <c r="CJ85" i="13" s="1"/>
  <c r="CK54" i="13"/>
  <c r="CK84" i="13" s="1"/>
  <c r="CK125" i="16" s="1"/>
  <c r="R54" i="13"/>
  <c r="R83" i="13" s="1"/>
  <c r="D55" i="13"/>
  <c r="C7" i="2"/>
  <c r="E71" i="13"/>
  <c r="E70" i="13"/>
  <c r="E69" i="13"/>
  <c r="F30" i="13"/>
  <c r="D78" i="13" l="1"/>
  <c r="AU83" i="13"/>
  <c r="CA83" i="13"/>
  <c r="CE84" i="13"/>
  <c r="CE125" i="16" s="1"/>
  <c r="D80" i="13"/>
  <c r="BB83" i="13"/>
  <c r="CH83" i="13"/>
  <c r="AA84" i="13"/>
  <c r="AA125" i="16" s="1"/>
  <c r="BU85" i="13"/>
  <c r="D77" i="13"/>
  <c r="V83" i="13"/>
  <c r="BC83" i="13"/>
  <c r="CI83" i="13"/>
  <c r="AI84" i="13"/>
  <c r="AI125" i="16" s="1"/>
  <c r="D76" i="13"/>
  <c r="W83" i="13"/>
  <c r="BJ83" i="13"/>
  <c r="AQ84" i="13"/>
  <c r="AQ125" i="16" s="1"/>
  <c r="AW85" i="13"/>
  <c r="CC85" i="13"/>
  <c r="D66" i="13"/>
  <c r="D58" i="13"/>
  <c r="AD83" i="13"/>
  <c r="BK83" i="13"/>
  <c r="AY84" i="13"/>
  <c r="AY125" i="16" s="1"/>
  <c r="AO84" i="13"/>
  <c r="AO125" i="16" s="1"/>
  <c r="AG84" i="13"/>
  <c r="AG125" i="16" s="1"/>
  <c r="Y84" i="13"/>
  <c r="Y125" i="16" s="1"/>
  <c r="AL83" i="13"/>
  <c r="BR83" i="13"/>
  <c r="BG84" i="13"/>
  <c r="BG125" i="16" s="1"/>
  <c r="Y85" i="13"/>
  <c r="BE85" i="13"/>
  <c r="CK85" i="13"/>
  <c r="CB84" i="13"/>
  <c r="CB125" i="16" s="1"/>
  <c r="BL84" i="13"/>
  <c r="BL125" i="16" s="1"/>
  <c r="AV84" i="13"/>
  <c r="AV125" i="16" s="1"/>
  <c r="AN84" i="13"/>
  <c r="AN125" i="16" s="1"/>
  <c r="AF84" i="13"/>
  <c r="AF125" i="16" s="1"/>
  <c r="X84" i="13"/>
  <c r="X125" i="16" s="1"/>
  <c r="AM83" i="13"/>
  <c r="BS83" i="13"/>
  <c r="BO84" i="13"/>
  <c r="BO125" i="16" s="1"/>
  <c r="AF85" i="13"/>
  <c r="BL85" i="13"/>
  <c r="CJ84" i="13"/>
  <c r="CJ125" i="16" s="1"/>
  <c r="BT84" i="13"/>
  <c r="BT125" i="16" s="1"/>
  <c r="BD84" i="13"/>
  <c r="BD125" i="16" s="1"/>
  <c r="AT83" i="13"/>
  <c r="BZ83" i="13"/>
  <c r="BW84" i="13"/>
  <c r="BW125" i="16" s="1"/>
  <c r="AG85" i="13"/>
  <c r="BM85" i="13"/>
  <c r="E88" i="13"/>
  <c r="AB84" i="13"/>
  <c r="AB125" i="16" s="1"/>
  <c r="BH84" i="13"/>
  <c r="BH125" i="16" s="1"/>
  <c r="X83" i="13"/>
  <c r="AF83" i="13"/>
  <c r="AN83" i="13"/>
  <c r="AV83" i="13"/>
  <c r="BD83" i="13"/>
  <c r="BL83" i="13"/>
  <c r="BT83" i="13"/>
  <c r="CB83" i="13"/>
  <c r="CJ83" i="13"/>
  <c r="R84" i="13"/>
  <c r="R125" i="16" s="1"/>
  <c r="AC84" i="13"/>
  <c r="AC125" i="16" s="1"/>
  <c r="AK84" i="13"/>
  <c r="AK125" i="16" s="1"/>
  <c r="AS84" i="13"/>
  <c r="AS125" i="16" s="1"/>
  <c r="BA84" i="13"/>
  <c r="BA125" i="16" s="1"/>
  <c r="BI84" i="13"/>
  <c r="BI125" i="16" s="1"/>
  <c r="BQ84" i="13"/>
  <c r="BQ125" i="16" s="1"/>
  <c r="BY84" i="13"/>
  <c r="BY125" i="16" s="1"/>
  <c r="CG84" i="13"/>
  <c r="CG125" i="16" s="1"/>
  <c r="R85" i="13"/>
  <c r="Z85" i="13"/>
  <c r="AH85" i="13"/>
  <c r="AP85" i="13"/>
  <c r="AX85" i="13"/>
  <c r="BF85" i="13"/>
  <c r="BN85" i="13"/>
  <c r="BV85" i="13"/>
  <c r="CD85" i="13"/>
  <c r="AE83" i="13"/>
  <c r="AJ84" i="13"/>
  <c r="AJ125" i="16" s="1"/>
  <c r="AZ84" i="13"/>
  <c r="AZ125" i="16" s="1"/>
  <c r="Y83" i="13"/>
  <c r="AG83" i="13"/>
  <c r="AO83" i="13"/>
  <c r="AW83" i="13"/>
  <c r="BE83" i="13"/>
  <c r="BM83" i="13"/>
  <c r="BU83" i="13"/>
  <c r="CC83" i="13"/>
  <c r="CK83" i="13"/>
  <c r="V84" i="13"/>
  <c r="V125" i="16" s="1"/>
  <c r="AD84" i="13"/>
  <c r="AD125" i="16" s="1"/>
  <c r="AL84" i="13"/>
  <c r="AL125" i="16" s="1"/>
  <c r="AT84" i="13"/>
  <c r="AT125" i="16" s="1"/>
  <c r="BB84" i="13"/>
  <c r="BB125" i="16" s="1"/>
  <c r="BJ84" i="13"/>
  <c r="BJ125" i="16" s="1"/>
  <c r="BR84" i="13"/>
  <c r="BR125" i="16" s="1"/>
  <c r="BZ84" i="13"/>
  <c r="BZ125" i="16" s="1"/>
  <c r="CH84" i="13"/>
  <c r="CH125" i="16" s="1"/>
  <c r="AA85" i="13"/>
  <c r="AI85" i="13"/>
  <c r="AQ85" i="13"/>
  <c r="AY85" i="13"/>
  <c r="BG85" i="13"/>
  <c r="BO85" i="13"/>
  <c r="BW85" i="13"/>
  <c r="CE85" i="13"/>
  <c r="BP84" i="13"/>
  <c r="BP125" i="16" s="1"/>
  <c r="Z83" i="13"/>
  <c r="AH83" i="13"/>
  <c r="AP83" i="13"/>
  <c r="AX83" i="13"/>
  <c r="BF83" i="13"/>
  <c r="BN83" i="13"/>
  <c r="BV83" i="13"/>
  <c r="CD83" i="13"/>
  <c r="W84" i="13"/>
  <c r="W125" i="16" s="1"/>
  <c r="AE84" i="13"/>
  <c r="AE125" i="16" s="1"/>
  <c r="AM84" i="13"/>
  <c r="AM125" i="16" s="1"/>
  <c r="AU84" i="13"/>
  <c r="AU125" i="16" s="1"/>
  <c r="BC84" i="13"/>
  <c r="BC125" i="16" s="1"/>
  <c r="BK84" i="13"/>
  <c r="BK125" i="16" s="1"/>
  <c r="BS84" i="13"/>
  <c r="BS125" i="16" s="1"/>
  <c r="CA84" i="13"/>
  <c r="CA125" i="16" s="1"/>
  <c r="CI84" i="13"/>
  <c r="CI125" i="16" s="1"/>
  <c r="AB85" i="13"/>
  <c r="AJ85" i="13"/>
  <c r="AR85" i="13"/>
  <c r="AZ85" i="13"/>
  <c r="BH85" i="13"/>
  <c r="BP85" i="13"/>
  <c r="BX85" i="13"/>
  <c r="CF85" i="13"/>
  <c r="CF84" i="13"/>
  <c r="CF125" i="16" s="1"/>
  <c r="AC85" i="13"/>
  <c r="AK85" i="13"/>
  <c r="AS85" i="13"/>
  <c r="BA85" i="13"/>
  <c r="BI85" i="13"/>
  <c r="BQ85" i="13"/>
  <c r="BY85" i="13"/>
  <c r="CG85" i="13"/>
  <c r="BX84" i="13"/>
  <c r="BX125" i="16" s="1"/>
  <c r="AR83" i="13"/>
  <c r="S86" i="13"/>
  <c r="D86" i="13" s="1"/>
  <c r="D54" i="13"/>
  <c r="E84" i="13"/>
  <c r="F23" i="13" s="1"/>
  <c r="S84" i="13"/>
  <c r="S125" i="16" s="1"/>
  <c r="T84" i="13"/>
  <c r="T125" i="16" s="1"/>
  <c r="U84" i="13"/>
  <c r="U125" i="16" s="1"/>
  <c r="CK107" i="16"/>
  <c r="CJ107" i="16"/>
  <c r="E104" i="18"/>
  <c r="S83" i="13"/>
  <c r="E83" i="13"/>
  <c r="F16" i="13" s="1"/>
  <c r="U83" i="13"/>
  <c r="D71" i="13"/>
  <c r="T83" i="13"/>
  <c r="D70" i="13"/>
  <c r="D69" i="13"/>
  <c r="F28" i="13"/>
  <c r="F27" i="13"/>
  <c r="F6" i="13"/>
  <c r="F7" i="13" s="1"/>
  <c r="F5" i="13"/>
  <c r="CJ115" i="16" l="1"/>
  <c r="CK22" i="31"/>
  <c r="CK115" i="16"/>
  <c r="CL22" i="31"/>
  <c r="D88" i="13"/>
  <c r="D85" i="13"/>
  <c r="D83" i="13"/>
  <c r="D84" i="13"/>
  <c r="D125" i="16"/>
  <c r="G48" i="28" l="1"/>
  <c r="F48" i="28"/>
  <c r="E48" i="28"/>
  <c r="G33" i="28"/>
  <c r="G35" i="28" s="1"/>
  <c r="F33" i="28"/>
  <c r="E33" i="28"/>
  <c r="E34" i="28"/>
  <c r="F34" i="28"/>
  <c r="G30" i="28"/>
  <c r="F30" i="28"/>
  <c r="E30" i="28"/>
  <c r="G24" i="28"/>
  <c r="F24" i="28"/>
  <c r="G20" i="28"/>
  <c r="G7" i="28"/>
  <c r="F20" i="28"/>
  <c r="F7" i="28"/>
  <c r="E20" i="28"/>
  <c r="E7" i="28"/>
  <c r="D10" i="11"/>
  <c r="D11" i="11"/>
  <c r="J8" i="21"/>
  <c r="I8" i="21"/>
  <c r="T13" i="16"/>
  <c r="U13" i="16"/>
  <c r="V13" i="16"/>
  <c r="W13" i="16"/>
  <c r="X13" i="16"/>
  <c r="Y13" i="16"/>
  <c r="Z13" i="16"/>
  <c r="AA13" i="16"/>
  <c r="AB13" i="16"/>
  <c r="AC13" i="16"/>
  <c r="AD13" i="16"/>
  <c r="AE13" i="16"/>
  <c r="AF13" i="16"/>
  <c r="AG13" i="16"/>
  <c r="AH13" i="16"/>
  <c r="AI13" i="16"/>
  <c r="AJ13" i="16"/>
  <c r="AK13" i="16"/>
  <c r="AL13" i="16"/>
  <c r="AM13" i="16"/>
  <c r="AN13" i="16"/>
  <c r="AO13" i="16"/>
  <c r="AP13" i="16"/>
  <c r="AQ13" i="16"/>
  <c r="AR13" i="16"/>
  <c r="AS13" i="16"/>
  <c r="AT13" i="16"/>
  <c r="AU13" i="16"/>
  <c r="AV13" i="16"/>
  <c r="AW13" i="16"/>
  <c r="AX13" i="16"/>
  <c r="AY13" i="16"/>
  <c r="AZ13" i="16"/>
  <c r="BA13" i="16"/>
  <c r="BB13" i="16"/>
  <c r="BC13" i="16"/>
  <c r="BD13" i="16"/>
  <c r="BE13" i="16"/>
  <c r="BF13" i="16"/>
  <c r="BG13" i="16"/>
  <c r="BH13" i="16"/>
  <c r="BI13" i="16"/>
  <c r="BJ13" i="16"/>
  <c r="BK13" i="16"/>
  <c r="BL13" i="16"/>
  <c r="BM13" i="16"/>
  <c r="BN13" i="16"/>
  <c r="BO13" i="16"/>
  <c r="BP13" i="16"/>
  <c r="BQ13" i="16"/>
  <c r="BR13" i="16"/>
  <c r="BS13" i="16"/>
  <c r="BT13" i="16"/>
  <c r="BU13" i="16"/>
  <c r="BV13" i="16"/>
  <c r="BW13" i="16"/>
  <c r="BX13" i="16"/>
  <c r="BY13" i="16"/>
  <c r="BZ13" i="16"/>
  <c r="CA13" i="16"/>
  <c r="CB13" i="16"/>
  <c r="CC13" i="16"/>
  <c r="CD13" i="16"/>
  <c r="CE13" i="16"/>
  <c r="CF13" i="16"/>
  <c r="CG13" i="16"/>
  <c r="CH13" i="16"/>
  <c r="CI13" i="16"/>
  <c r="T14" i="16"/>
  <c r="U14" i="16"/>
  <c r="V14" i="16"/>
  <c r="W14" i="16"/>
  <c r="X14" i="16"/>
  <c r="Y14" i="16"/>
  <c r="Z14" i="16"/>
  <c r="AA14" i="16"/>
  <c r="AB14" i="16"/>
  <c r="AC14" i="16"/>
  <c r="AD14" i="16"/>
  <c r="AE14" i="16"/>
  <c r="AF14" i="16"/>
  <c r="AG14" i="16"/>
  <c r="AH14" i="16"/>
  <c r="AI14" i="16"/>
  <c r="AJ14" i="16"/>
  <c r="AK14" i="16"/>
  <c r="AL14" i="16"/>
  <c r="AM14" i="16"/>
  <c r="AN14" i="16"/>
  <c r="AO14" i="16"/>
  <c r="AP14" i="16"/>
  <c r="AQ14" i="16"/>
  <c r="AR14" i="16"/>
  <c r="AS14" i="16"/>
  <c r="AT14" i="16"/>
  <c r="AU14" i="16"/>
  <c r="AV14" i="16"/>
  <c r="AW14" i="16"/>
  <c r="AX14" i="16"/>
  <c r="AY14" i="16"/>
  <c r="AZ14" i="16"/>
  <c r="BA14" i="16"/>
  <c r="BB14" i="16"/>
  <c r="BC14" i="16"/>
  <c r="BD14" i="16"/>
  <c r="BE14" i="16"/>
  <c r="BF14" i="16"/>
  <c r="BG14" i="16"/>
  <c r="BH14" i="16"/>
  <c r="BI14" i="16"/>
  <c r="BJ14" i="16"/>
  <c r="BK14" i="16"/>
  <c r="BL14" i="16"/>
  <c r="BM14" i="16"/>
  <c r="BN14" i="16"/>
  <c r="BO14" i="16"/>
  <c r="BP14" i="16"/>
  <c r="BQ14" i="16"/>
  <c r="BR14" i="16"/>
  <c r="BS14" i="16"/>
  <c r="BT14" i="16"/>
  <c r="BU14" i="16"/>
  <c r="BV14" i="16"/>
  <c r="BW14" i="16"/>
  <c r="BX14" i="16"/>
  <c r="BY14" i="16"/>
  <c r="BZ14" i="16"/>
  <c r="CA14" i="16"/>
  <c r="CB14" i="16"/>
  <c r="CC14" i="16"/>
  <c r="CD14" i="16"/>
  <c r="CE14" i="16"/>
  <c r="CF14" i="16"/>
  <c r="CG14" i="16"/>
  <c r="CH14" i="16"/>
  <c r="CI14" i="16"/>
  <c r="S14" i="16"/>
  <c r="S13"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BF10" i="16"/>
  <c r="BG10" i="16"/>
  <c r="BH10" i="16"/>
  <c r="BI10" i="16"/>
  <c r="BJ10" i="16"/>
  <c r="BK10" i="16"/>
  <c r="BL10" i="16"/>
  <c r="BM10" i="16"/>
  <c r="BN10" i="16"/>
  <c r="BO10" i="16"/>
  <c r="BP10" i="16"/>
  <c r="BQ10" i="16"/>
  <c r="BR10" i="16"/>
  <c r="BS10" i="16"/>
  <c r="BT10" i="16"/>
  <c r="BU10" i="16"/>
  <c r="BV10" i="16"/>
  <c r="BW10" i="16"/>
  <c r="BX10" i="16"/>
  <c r="BY10" i="16"/>
  <c r="BZ10" i="16"/>
  <c r="CA10" i="16"/>
  <c r="CB10" i="16"/>
  <c r="CC10" i="16"/>
  <c r="CD10" i="16"/>
  <c r="CE10" i="16"/>
  <c r="CF10" i="16"/>
  <c r="CG10" i="16"/>
  <c r="CH10" i="16"/>
  <c r="CI10" i="16"/>
  <c r="CJ10" i="16"/>
  <c r="CK10"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BF11" i="16"/>
  <c r="BG11" i="16"/>
  <c r="BH11" i="16"/>
  <c r="BI11" i="16"/>
  <c r="BJ11" i="16"/>
  <c r="BK11" i="16"/>
  <c r="BL11" i="16"/>
  <c r="BM11" i="16"/>
  <c r="BN11" i="16"/>
  <c r="BO11" i="16"/>
  <c r="BP11" i="16"/>
  <c r="BQ11" i="16"/>
  <c r="BR11" i="16"/>
  <c r="BS11" i="16"/>
  <c r="BT11" i="16"/>
  <c r="BU11" i="16"/>
  <c r="BV11" i="16"/>
  <c r="BW11" i="16"/>
  <c r="BX11" i="16"/>
  <c r="BY11" i="16"/>
  <c r="BZ11" i="16"/>
  <c r="CA11" i="16"/>
  <c r="CB11" i="16"/>
  <c r="CC11" i="16"/>
  <c r="CD11" i="16"/>
  <c r="CE11" i="16"/>
  <c r="CF11" i="16"/>
  <c r="CG11" i="16"/>
  <c r="CH11" i="16"/>
  <c r="CI11" i="16"/>
  <c r="CJ11" i="16"/>
  <c r="CK11" i="16"/>
  <c r="S11" i="16"/>
  <c r="S10" i="16"/>
  <c r="U7" i="16"/>
  <c r="T7" i="16"/>
  <c r="S7" i="16"/>
  <c r="CI21" i="2"/>
  <c r="CI18" i="2" s="1"/>
  <c r="CH21" i="2"/>
  <c r="CG21" i="2"/>
  <c r="CF21" i="2"/>
  <c r="CE21" i="2"/>
  <c r="CD21" i="2"/>
  <c r="CC21" i="2"/>
  <c r="CB21" i="2"/>
  <c r="CA21" i="2"/>
  <c r="BZ21" i="2"/>
  <c r="BY21" i="2"/>
  <c r="BX21" i="2"/>
  <c r="BW21" i="2"/>
  <c r="BV21" i="2"/>
  <c r="BU21" i="2"/>
  <c r="BT21" i="2"/>
  <c r="BS21" i="2"/>
  <c r="BR21" i="2"/>
  <c r="BQ21" i="2"/>
  <c r="BP21" i="2"/>
  <c r="BO21" i="2"/>
  <c r="BN21" i="2"/>
  <c r="BM21" i="2"/>
  <c r="BL21" i="2"/>
  <c r="BK21" i="2"/>
  <c r="BJ21" i="2"/>
  <c r="BI21" i="2"/>
  <c r="BH21" i="2"/>
  <c r="BG21" i="2"/>
  <c r="BF21" i="2"/>
  <c r="BE21" i="2"/>
  <c r="BD21" i="2"/>
  <c r="BC21" i="2"/>
  <c r="BB21" i="2"/>
  <c r="BA21" i="2"/>
  <c r="AZ21" i="2"/>
  <c r="AY21" i="2"/>
  <c r="AX21" i="2"/>
  <c r="AW21" i="2"/>
  <c r="AV21" i="2"/>
  <c r="AU21" i="2"/>
  <c r="AT21" i="2"/>
  <c r="AS21" i="2"/>
  <c r="AR21" i="2"/>
  <c r="AQ21" i="2"/>
  <c r="AP21" i="2"/>
  <c r="AO21" i="2"/>
  <c r="AN21" i="2"/>
  <c r="AM21" i="2"/>
  <c r="AL21" i="2"/>
  <c r="AK21" i="2"/>
  <c r="AJ21" i="2"/>
  <c r="AI21" i="2"/>
  <c r="AH21" i="2"/>
  <c r="AG21" i="2"/>
  <c r="AF21" i="2"/>
  <c r="AE21" i="2"/>
  <c r="AD21" i="2"/>
  <c r="AC21" i="2"/>
  <c r="AB21" i="2"/>
  <c r="AA21" i="2"/>
  <c r="Z21" i="2"/>
  <c r="Y21" i="2"/>
  <c r="X21" i="2"/>
  <c r="W21" i="2"/>
  <c r="V21" i="2"/>
  <c r="U21" i="2"/>
  <c r="T21" i="2"/>
  <c r="S21" i="2"/>
  <c r="R21" i="2"/>
  <c r="CH18" i="2"/>
  <c r="BB12" i="2"/>
  <c r="BC12" i="2"/>
  <c r="BD12" i="2"/>
  <c r="BE12" i="2"/>
  <c r="BF12" i="2"/>
  <c r="BG12" i="2"/>
  <c r="BH12" i="2"/>
  <c r="BI12" i="2"/>
  <c r="BJ12" i="2"/>
  <c r="BK12" i="2"/>
  <c r="BL12" i="2"/>
  <c r="BM12" i="2"/>
  <c r="BN12" i="2"/>
  <c r="BO12" i="2"/>
  <c r="BP12" i="2"/>
  <c r="BQ12" i="2"/>
  <c r="BR12" i="2"/>
  <c r="BS12" i="2"/>
  <c r="BT12" i="2"/>
  <c r="BU12" i="2"/>
  <c r="BV12" i="2"/>
  <c r="BW12" i="2"/>
  <c r="BX12" i="2"/>
  <c r="BY12" i="2"/>
  <c r="BZ12" i="2"/>
  <c r="CA12" i="2"/>
  <c r="CB12" i="2"/>
  <c r="CC12" i="2"/>
  <c r="CD12" i="2"/>
  <c r="CE12" i="2"/>
  <c r="CF12" i="2"/>
  <c r="CG12" i="2"/>
  <c r="CH12" i="2"/>
  <c r="CI12" i="2"/>
  <c r="F116" i="28"/>
  <c r="F117" i="28"/>
  <c r="F118" i="28"/>
  <c r="H113" i="28"/>
  <c r="E66" i="28" l="1"/>
  <c r="E35" i="28"/>
  <c r="G36" i="28" s="1"/>
  <c r="G8" i="28"/>
  <c r="F8" i="28"/>
  <c r="F35" i="28"/>
  <c r="CJ21" i="2"/>
  <c r="CI20" i="2"/>
  <c r="CH20" i="2"/>
  <c r="CI19" i="2"/>
  <c r="CH19" i="2"/>
  <c r="F36" i="28" l="1"/>
  <c r="C153" i="13"/>
  <c r="C152" i="13"/>
  <c r="C151" i="13"/>
  <c r="C150" i="13"/>
  <c r="C145" i="13"/>
  <c r="C20" i="11"/>
  <c r="CC7" i="16" l="1"/>
  <c r="CC16" i="16" s="1"/>
  <c r="BU7" i="16"/>
  <c r="BU16" i="16" s="1"/>
  <c r="BM7" i="16"/>
  <c r="BM16" i="16" s="1"/>
  <c r="BE7" i="16"/>
  <c r="BE16" i="16" s="1"/>
  <c r="CJ7" i="16"/>
  <c r="CJ16" i="16" s="1"/>
  <c r="CB7" i="16"/>
  <c r="CB16" i="16" s="1"/>
  <c r="BT7" i="16"/>
  <c r="BT16" i="16" s="1"/>
  <c r="BL7" i="16"/>
  <c r="BL16" i="16" s="1"/>
  <c r="BD7" i="16"/>
  <c r="BD16" i="16" s="1"/>
  <c r="BG7" i="16"/>
  <c r="BG16" i="16" s="1"/>
  <c r="BV7" i="16"/>
  <c r="BV16" i="16" s="1"/>
  <c r="CI7" i="16"/>
  <c r="CI16" i="16" s="1"/>
  <c r="CA7" i="16"/>
  <c r="CA16" i="16" s="1"/>
  <c r="BS7" i="16"/>
  <c r="BS16" i="16" s="1"/>
  <c r="BK7" i="16"/>
  <c r="BK16" i="16" s="1"/>
  <c r="BO7" i="16"/>
  <c r="BO16" i="16" s="1"/>
  <c r="BN7" i="16"/>
  <c r="BN16" i="16" s="1"/>
  <c r="CH7" i="16"/>
  <c r="CH16" i="16" s="1"/>
  <c r="BZ7" i="16"/>
  <c r="BZ16" i="16" s="1"/>
  <c r="BR7" i="16"/>
  <c r="BR16" i="16" s="1"/>
  <c r="BJ7" i="16"/>
  <c r="BJ16" i="16" s="1"/>
  <c r="CE7" i="16"/>
  <c r="CE16" i="16" s="1"/>
  <c r="CD7" i="16"/>
  <c r="CD16" i="16" s="1"/>
  <c r="CG7" i="16"/>
  <c r="CG16" i="16" s="1"/>
  <c r="BY7" i="16"/>
  <c r="BY16" i="16" s="1"/>
  <c r="BQ7" i="16"/>
  <c r="BQ16" i="16" s="1"/>
  <c r="BI7" i="16"/>
  <c r="BI16" i="16" s="1"/>
  <c r="BW7" i="16"/>
  <c r="BW16" i="16" s="1"/>
  <c r="BF7" i="16"/>
  <c r="BF16" i="16" s="1"/>
  <c r="CK7" i="16"/>
  <c r="CK16" i="16" s="1"/>
  <c r="CF7" i="16"/>
  <c r="CF16" i="16" s="1"/>
  <c r="BX7" i="16"/>
  <c r="BX16" i="16" s="1"/>
  <c r="BP7" i="16"/>
  <c r="BP16" i="16" s="1"/>
  <c r="BH7" i="16"/>
  <c r="BH16" i="16" s="1"/>
  <c r="BC68" i="16" l="1"/>
  <c r="BB68" i="16"/>
  <c r="BA68" i="16"/>
  <c r="AZ68" i="16"/>
  <c r="AY68" i="16"/>
  <c r="AX68" i="16"/>
  <c r="AW68" i="16"/>
  <c r="AV68" i="16"/>
  <c r="AU68" i="16"/>
  <c r="AT68" i="16"/>
  <c r="AS68" i="16"/>
  <c r="AR68" i="16"/>
  <c r="AQ68" i="16"/>
  <c r="AP68" i="16"/>
  <c r="AO68" i="16"/>
  <c r="AN68" i="16"/>
  <c r="AM68" i="16"/>
  <c r="AL68" i="16"/>
  <c r="AK68" i="16"/>
  <c r="AJ68" i="16"/>
  <c r="AI68" i="16"/>
  <c r="AH68" i="16"/>
  <c r="AG68" i="16"/>
  <c r="AF68" i="16"/>
  <c r="AE68" i="16"/>
  <c r="AD68" i="16"/>
  <c r="AC68" i="16"/>
  <c r="AB68" i="16"/>
  <c r="AA68" i="16"/>
  <c r="Z68" i="16"/>
  <c r="Y68" i="16"/>
  <c r="X68" i="16"/>
  <c r="W68" i="16"/>
  <c r="V68" i="16"/>
  <c r="U68" i="16"/>
  <c r="T68" i="16"/>
  <c r="S68" i="16"/>
  <c r="R68" i="16"/>
  <c r="Q68" i="16"/>
  <c r="P68" i="16"/>
  <c r="O68" i="16"/>
  <c r="M68" i="16"/>
  <c r="L68" i="16"/>
  <c r="K68" i="16"/>
  <c r="J68" i="16"/>
  <c r="I68" i="16"/>
  <c r="H68" i="16"/>
  <c r="G68" i="16"/>
  <c r="N68" i="16"/>
  <c r="F19" i="26" l="1"/>
  <c r="D183" i="28" s="1"/>
  <c r="E183" i="28" s="1"/>
  <c r="F7" i="26"/>
  <c r="F9" i="26" l="1"/>
  <c r="D182" i="28"/>
  <c r="E182" i="28" s="1"/>
  <c r="F8" i="26"/>
  <c r="D166" i="13"/>
  <c r="D177" i="13"/>
  <c r="G12" i="2"/>
  <c r="I7" i="16" s="1"/>
  <c r="I10" i="16"/>
  <c r="I11" i="16"/>
  <c r="I12" i="16"/>
  <c r="I13" i="16"/>
  <c r="I14" i="16"/>
  <c r="I15" i="16"/>
  <c r="D12" i="2"/>
  <c r="F12" i="16" s="1"/>
  <c r="F9" i="16"/>
  <c r="F10" i="16"/>
  <c r="F13" i="16"/>
  <c r="F14" i="16"/>
  <c r="F15" i="16"/>
  <c r="E12" i="2"/>
  <c r="G13" i="16"/>
  <c r="G14" i="16"/>
  <c r="G15" i="16"/>
  <c r="F12" i="2"/>
  <c r="H12" i="16" s="1"/>
  <c r="H9" i="16"/>
  <c r="H10" i="16"/>
  <c r="H11" i="16"/>
  <c r="H13" i="16"/>
  <c r="H14" i="16"/>
  <c r="H15" i="16"/>
  <c r="H12" i="2"/>
  <c r="J9" i="16" s="1"/>
  <c r="J7" i="16"/>
  <c r="J8" i="16"/>
  <c r="J13" i="16"/>
  <c r="J14" i="16"/>
  <c r="J15" i="16"/>
  <c r="I12" i="2"/>
  <c r="K9" i="16" s="1"/>
  <c r="K7" i="16"/>
  <c r="K8" i="16"/>
  <c r="K11" i="16"/>
  <c r="K12" i="16"/>
  <c r="K13" i="16"/>
  <c r="K14" i="16"/>
  <c r="K15" i="16"/>
  <c r="J12" i="2"/>
  <c r="L7" i="16" s="1"/>
  <c r="L8" i="16"/>
  <c r="L9" i="16"/>
  <c r="L10" i="16"/>
  <c r="L11" i="16"/>
  <c r="L12" i="16"/>
  <c r="L13" i="16"/>
  <c r="L14" i="16"/>
  <c r="L15" i="16"/>
  <c r="K12" i="2"/>
  <c r="M7" i="16"/>
  <c r="M13" i="16"/>
  <c r="M14" i="16"/>
  <c r="M15" i="16"/>
  <c r="L12" i="2"/>
  <c r="N7" i="16" s="1"/>
  <c r="N10" i="16"/>
  <c r="N11" i="16"/>
  <c r="N12" i="16"/>
  <c r="N13" i="16"/>
  <c r="N14" i="16"/>
  <c r="N15" i="16"/>
  <c r="M12" i="2"/>
  <c r="O12" i="16" s="1"/>
  <c r="O13" i="16"/>
  <c r="O14" i="16"/>
  <c r="N12" i="2"/>
  <c r="P13" i="16"/>
  <c r="P14" i="16"/>
  <c r="O12" i="2"/>
  <c r="Q12" i="16" s="1"/>
  <c r="Q9" i="16"/>
  <c r="Q13" i="16"/>
  <c r="Q14" i="16"/>
  <c r="P12" i="2"/>
  <c r="R9" i="16" s="1"/>
  <c r="R7" i="16"/>
  <c r="R13" i="16"/>
  <c r="R14" i="16"/>
  <c r="Q12" i="2"/>
  <c r="S9" i="16" s="1"/>
  <c r="S8" i="16"/>
  <c r="S12" i="16"/>
  <c r="R12" i="2"/>
  <c r="S12" i="2"/>
  <c r="T12" i="2"/>
  <c r="V7" i="16" s="1"/>
  <c r="U12" i="2"/>
  <c r="W7" i="16"/>
  <c r="W8" i="16"/>
  <c r="W9" i="16"/>
  <c r="W12" i="16"/>
  <c r="V12" i="2"/>
  <c r="W12" i="2"/>
  <c r="Y12" i="16" s="1"/>
  <c r="Y9" i="16"/>
  <c r="X12" i="2"/>
  <c r="Z9" i="16" s="1"/>
  <c r="Z7" i="16"/>
  <c r="Z8" i="16"/>
  <c r="Y12" i="2"/>
  <c r="AA9" i="16" s="1"/>
  <c r="AA7" i="16"/>
  <c r="Z12" i="2"/>
  <c r="AB7" i="16" s="1"/>
  <c r="AA12" i="2"/>
  <c r="AC7" i="16"/>
  <c r="AB12" i="2"/>
  <c r="AD7" i="16" s="1"/>
  <c r="AD12" i="16"/>
  <c r="AC12" i="2"/>
  <c r="AE7" i="16"/>
  <c r="AE8" i="16"/>
  <c r="AE9" i="16"/>
  <c r="AE12" i="16"/>
  <c r="AD12" i="2"/>
  <c r="AE12" i="2"/>
  <c r="AG12" i="16" s="1"/>
  <c r="AF12" i="2"/>
  <c r="AH9" i="16" s="1"/>
  <c r="AH7" i="16"/>
  <c r="AH8" i="16"/>
  <c r="AG12" i="2"/>
  <c r="AI9" i="16" s="1"/>
  <c r="AI7" i="16"/>
  <c r="AI8" i="16"/>
  <c r="AH12" i="2"/>
  <c r="AJ7" i="16" s="1"/>
  <c r="AJ8" i="16"/>
  <c r="AJ9" i="16"/>
  <c r="AJ12" i="16"/>
  <c r="AI12" i="2"/>
  <c r="AK7" i="16" s="1"/>
  <c r="AJ12" i="2"/>
  <c r="AL7" i="16" s="1"/>
  <c r="AL12" i="16"/>
  <c r="AK12" i="2"/>
  <c r="AM7" i="16"/>
  <c r="AM8" i="16"/>
  <c r="AM9" i="16"/>
  <c r="AM12" i="16"/>
  <c r="AL12" i="2"/>
  <c r="AM12" i="2"/>
  <c r="AO12" i="16" s="1"/>
  <c r="AO9" i="16"/>
  <c r="AN12" i="2"/>
  <c r="AP9" i="16" s="1"/>
  <c r="AO12" i="2"/>
  <c r="AQ9" i="16" s="1"/>
  <c r="AP12" i="2"/>
  <c r="AR7" i="16" s="1"/>
  <c r="AR8" i="16"/>
  <c r="AR9" i="16"/>
  <c r="AR12" i="16"/>
  <c r="AQ12" i="2"/>
  <c r="AS7" i="16"/>
  <c r="AR12" i="2"/>
  <c r="AT7" i="16" s="1"/>
  <c r="AS12" i="2"/>
  <c r="AU7" i="16"/>
  <c r="AU8" i="16"/>
  <c r="AU9" i="16"/>
  <c r="AU12" i="16"/>
  <c r="AT12" i="2"/>
  <c r="AU12" i="2"/>
  <c r="AW12" i="16" s="1"/>
  <c r="AV12" i="2"/>
  <c r="AX9" i="16" s="1"/>
  <c r="AW12" i="2"/>
  <c r="AY9" i="16" s="1"/>
  <c r="AY7" i="16"/>
  <c r="AY8" i="16"/>
  <c r="AY12" i="16"/>
  <c r="AX12" i="2"/>
  <c r="AZ7" i="16" s="1"/>
  <c r="AZ8" i="16"/>
  <c r="AZ9" i="16"/>
  <c r="AZ12" i="16"/>
  <c r="AY12" i="2"/>
  <c r="BA7" i="16" s="1"/>
  <c r="AZ12" i="2"/>
  <c r="BB7" i="16" s="1"/>
  <c r="BB12" i="16"/>
  <c r="BA12" i="2"/>
  <c r="BC7" i="16" s="1"/>
  <c r="C14" i="26"/>
  <c r="D12" i="11"/>
  <c r="C15" i="26" s="1"/>
  <c r="I59" i="16"/>
  <c r="I60" i="16"/>
  <c r="I61" i="16"/>
  <c r="I62" i="16"/>
  <c r="I63" i="16"/>
  <c r="I64" i="16"/>
  <c r="I65" i="16"/>
  <c r="I66" i="16"/>
  <c r="J59" i="16"/>
  <c r="J60" i="16"/>
  <c r="J61" i="16"/>
  <c r="J62" i="16"/>
  <c r="J63" i="16"/>
  <c r="J64" i="16"/>
  <c r="J65" i="16"/>
  <c r="J66" i="16"/>
  <c r="K59" i="16"/>
  <c r="K60" i="16"/>
  <c r="K61" i="16"/>
  <c r="K62" i="16"/>
  <c r="K63" i="16"/>
  <c r="K64" i="16"/>
  <c r="K65" i="16"/>
  <c r="K66" i="16"/>
  <c r="L59" i="16"/>
  <c r="L60" i="16"/>
  <c r="L61" i="16"/>
  <c r="L62" i="16"/>
  <c r="L63" i="16"/>
  <c r="L64" i="16"/>
  <c r="L65" i="16"/>
  <c r="L66" i="16"/>
  <c r="M59" i="16"/>
  <c r="M60" i="16"/>
  <c r="M61" i="16"/>
  <c r="M62" i="16"/>
  <c r="M63" i="16"/>
  <c r="M64" i="16"/>
  <c r="M65" i="16"/>
  <c r="M66" i="16"/>
  <c r="N59" i="16"/>
  <c r="N60" i="16"/>
  <c r="N61" i="16"/>
  <c r="N62" i="16"/>
  <c r="N63" i="16"/>
  <c r="N64" i="16"/>
  <c r="N65" i="16"/>
  <c r="N66" i="16"/>
  <c r="O59" i="16"/>
  <c r="O60" i="16"/>
  <c r="O61" i="16"/>
  <c r="O62" i="16"/>
  <c r="O63" i="16"/>
  <c r="O64" i="16"/>
  <c r="O65" i="16"/>
  <c r="O66" i="16"/>
  <c r="P59" i="16"/>
  <c r="P60" i="16"/>
  <c r="P61" i="16"/>
  <c r="P62" i="16"/>
  <c r="P63" i="16"/>
  <c r="P64" i="16"/>
  <c r="P65" i="16"/>
  <c r="P66" i="16"/>
  <c r="Q59" i="16"/>
  <c r="Q60" i="16"/>
  <c r="Q61" i="16"/>
  <c r="Q62" i="16"/>
  <c r="Q63" i="16"/>
  <c r="Q64" i="16"/>
  <c r="Q65" i="16"/>
  <c r="Q66" i="16"/>
  <c r="R59" i="16"/>
  <c r="R60" i="16"/>
  <c r="R61" i="16"/>
  <c r="R62" i="16"/>
  <c r="R63" i="16"/>
  <c r="R64" i="16"/>
  <c r="R65" i="16"/>
  <c r="R66" i="16"/>
  <c r="S59" i="16"/>
  <c r="S60" i="16"/>
  <c r="S61" i="16"/>
  <c r="S62" i="16"/>
  <c r="S63" i="16"/>
  <c r="S64" i="16"/>
  <c r="S65" i="16"/>
  <c r="S66" i="16"/>
  <c r="T59" i="16"/>
  <c r="T60" i="16"/>
  <c r="T61" i="16"/>
  <c r="T62" i="16"/>
  <c r="T63" i="16"/>
  <c r="T64" i="16"/>
  <c r="T65" i="16"/>
  <c r="T66" i="16"/>
  <c r="U59" i="16"/>
  <c r="U60" i="16"/>
  <c r="U61" i="16"/>
  <c r="U62" i="16"/>
  <c r="U63" i="16"/>
  <c r="U64" i="16"/>
  <c r="U65" i="16"/>
  <c r="U66" i="16"/>
  <c r="V59" i="16"/>
  <c r="V60" i="16"/>
  <c r="V61" i="16"/>
  <c r="V62" i="16"/>
  <c r="V63" i="16"/>
  <c r="V64" i="16"/>
  <c r="V65" i="16"/>
  <c r="V66" i="16"/>
  <c r="W59" i="16"/>
  <c r="W60" i="16"/>
  <c r="W61" i="16"/>
  <c r="W62" i="16"/>
  <c r="W63" i="16"/>
  <c r="W64" i="16"/>
  <c r="W65" i="16"/>
  <c r="W66" i="16"/>
  <c r="X59" i="16"/>
  <c r="X60" i="16"/>
  <c r="X61" i="16"/>
  <c r="X62" i="16"/>
  <c r="X63" i="16"/>
  <c r="X64" i="16"/>
  <c r="X65" i="16"/>
  <c r="X66" i="16"/>
  <c r="Y59" i="16"/>
  <c r="Y60" i="16"/>
  <c r="Y61" i="16"/>
  <c r="Y62" i="16"/>
  <c r="Y63" i="16"/>
  <c r="Y64" i="16"/>
  <c r="Y65" i="16"/>
  <c r="Y66" i="16"/>
  <c r="Z59" i="16"/>
  <c r="Z60" i="16"/>
  <c r="Z61" i="16"/>
  <c r="Z62" i="16"/>
  <c r="Z63" i="16"/>
  <c r="Z64" i="16"/>
  <c r="Z65" i="16"/>
  <c r="Z66" i="16"/>
  <c r="AA60" i="16"/>
  <c r="AA61" i="16"/>
  <c r="AA62" i="16"/>
  <c r="AA63" i="16"/>
  <c r="AA64" i="16"/>
  <c r="AA65" i="16"/>
  <c r="AA66" i="16"/>
  <c r="AB60" i="16"/>
  <c r="AB61" i="16"/>
  <c r="AB62" i="16"/>
  <c r="AB63" i="16"/>
  <c r="AB64" i="16"/>
  <c r="AB65" i="16"/>
  <c r="AB66" i="16"/>
  <c r="AC59" i="16"/>
  <c r="AC60" i="16"/>
  <c r="AC61" i="16"/>
  <c r="AC62" i="16"/>
  <c r="AC63" i="16"/>
  <c r="AC64" i="16"/>
  <c r="AC65" i="16"/>
  <c r="AC66" i="16"/>
  <c r="AD59" i="16"/>
  <c r="AD60" i="16"/>
  <c r="AD61" i="16"/>
  <c r="AD62" i="16"/>
  <c r="AD63" i="16"/>
  <c r="AD64" i="16"/>
  <c r="AD65" i="16"/>
  <c r="AD66" i="16"/>
  <c r="AE59" i="16"/>
  <c r="AE60" i="16"/>
  <c r="AE61" i="16"/>
  <c r="AE62" i="16"/>
  <c r="AE63" i="16"/>
  <c r="AE64" i="16"/>
  <c r="AE65" i="16"/>
  <c r="AE66" i="16"/>
  <c r="AF59" i="16"/>
  <c r="AF60" i="16"/>
  <c r="AF61" i="16"/>
  <c r="AF62" i="16"/>
  <c r="AF63" i="16"/>
  <c r="AF64" i="16"/>
  <c r="AF65" i="16"/>
  <c r="AF66" i="16"/>
  <c r="AG59" i="16"/>
  <c r="AG60" i="16"/>
  <c r="AG61" i="16"/>
  <c r="AG62" i="16"/>
  <c r="AG63" i="16"/>
  <c r="AG64" i="16"/>
  <c r="AG65" i="16"/>
  <c r="AG66" i="16"/>
  <c r="AH59" i="16"/>
  <c r="AH60" i="16"/>
  <c r="AH61" i="16"/>
  <c r="AH62" i="16"/>
  <c r="AH63" i="16"/>
  <c r="AH64" i="16"/>
  <c r="AH65" i="16"/>
  <c r="AH66" i="16"/>
  <c r="AI59" i="16"/>
  <c r="AI60" i="16"/>
  <c r="AI61" i="16"/>
  <c r="AI62" i="16"/>
  <c r="AI63" i="16"/>
  <c r="AI64" i="16"/>
  <c r="AI65" i="16"/>
  <c r="AI66" i="16"/>
  <c r="AJ59" i="16"/>
  <c r="AJ60" i="16"/>
  <c r="AJ61" i="16"/>
  <c r="AJ62" i="16"/>
  <c r="AJ63" i="16"/>
  <c r="AJ64" i="16"/>
  <c r="AJ65" i="16"/>
  <c r="AJ66" i="16"/>
  <c r="AK59" i="16"/>
  <c r="AK60" i="16"/>
  <c r="AK61" i="16"/>
  <c r="AK62" i="16"/>
  <c r="AK63" i="16"/>
  <c r="AK64" i="16"/>
  <c r="AK65" i="16"/>
  <c r="AK66" i="16"/>
  <c r="AL59" i="16"/>
  <c r="AL60" i="16"/>
  <c r="AL61" i="16"/>
  <c r="AL62" i="16"/>
  <c r="AL63" i="16"/>
  <c r="AL64" i="16"/>
  <c r="AL65" i="16"/>
  <c r="AL66" i="16"/>
  <c r="AM59" i="16"/>
  <c r="AM60" i="16"/>
  <c r="AM61" i="16"/>
  <c r="AM62" i="16"/>
  <c r="AM63" i="16"/>
  <c r="AM64" i="16"/>
  <c r="AM65" i="16"/>
  <c r="AM66" i="16"/>
  <c r="AN59" i="16"/>
  <c r="AN60" i="16"/>
  <c r="AN61" i="16"/>
  <c r="AN62" i="16"/>
  <c r="AN63" i="16"/>
  <c r="AN64" i="16"/>
  <c r="AN65" i="16"/>
  <c r="AN66" i="16"/>
  <c r="AO59" i="16"/>
  <c r="AO60" i="16"/>
  <c r="AO61" i="16"/>
  <c r="AO62" i="16"/>
  <c r="AO63" i="16"/>
  <c r="AO64" i="16"/>
  <c r="AO65" i="16"/>
  <c r="AO66" i="16"/>
  <c r="AP59" i="16"/>
  <c r="AP60" i="16"/>
  <c r="AP61" i="16"/>
  <c r="AP62" i="16"/>
  <c r="AP63" i="16"/>
  <c r="AP64" i="16"/>
  <c r="AP65" i="16"/>
  <c r="AP66" i="16"/>
  <c r="AQ59" i="16"/>
  <c r="AQ60" i="16"/>
  <c r="AQ61" i="16"/>
  <c r="AQ62" i="16"/>
  <c r="AQ63" i="16"/>
  <c r="AQ64" i="16"/>
  <c r="AQ65" i="16"/>
  <c r="AQ66" i="16"/>
  <c r="AR59" i="16"/>
  <c r="AR60" i="16"/>
  <c r="AR61" i="16"/>
  <c r="AR62" i="16"/>
  <c r="AR63" i="16"/>
  <c r="AR64" i="16"/>
  <c r="AR65" i="16"/>
  <c r="AR66" i="16"/>
  <c r="AS59" i="16"/>
  <c r="AS60" i="16"/>
  <c r="AS61" i="16"/>
  <c r="AS62" i="16"/>
  <c r="AS63" i="16"/>
  <c r="AS64" i="16"/>
  <c r="AS65" i="16"/>
  <c r="AS66" i="16"/>
  <c r="AT59" i="16"/>
  <c r="AT60" i="16"/>
  <c r="AT61" i="16"/>
  <c r="AT62" i="16"/>
  <c r="AT63" i="16"/>
  <c r="AT64" i="16"/>
  <c r="AT65" i="16"/>
  <c r="AT66" i="16"/>
  <c r="AU59" i="16"/>
  <c r="AU60" i="16"/>
  <c r="AU61" i="16"/>
  <c r="AU62" i="16"/>
  <c r="AU63" i="16"/>
  <c r="AU64" i="16"/>
  <c r="AU65" i="16"/>
  <c r="AU66" i="16"/>
  <c r="AV59" i="16"/>
  <c r="AV60" i="16"/>
  <c r="AV61" i="16"/>
  <c r="AV62" i="16"/>
  <c r="AV63" i="16"/>
  <c r="AV64" i="16"/>
  <c r="AV65" i="16"/>
  <c r="AV66" i="16"/>
  <c r="AW59" i="16"/>
  <c r="AW60" i="16"/>
  <c r="AW61" i="16"/>
  <c r="AW62" i="16"/>
  <c r="AW63" i="16"/>
  <c r="AW64" i="16"/>
  <c r="AW65" i="16"/>
  <c r="AW66" i="16"/>
  <c r="I50" i="16"/>
  <c r="I51" i="16"/>
  <c r="I52" i="16"/>
  <c r="I53" i="16"/>
  <c r="I54" i="16"/>
  <c r="I55" i="16"/>
  <c r="I56" i="16"/>
  <c r="J50" i="16"/>
  <c r="J51" i="16"/>
  <c r="J52" i="16"/>
  <c r="J53" i="16"/>
  <c r="J54" i="16"/>
  <c r="J55" i="16"/>
  <c r="J56" i="16"/>
  <c r="K50" i="16"/>
  <c r="K51" i="16"/>
  <c r="K52" i="16"/>
  <c r="K53" i="16"/>
  <c r="K54" i="16"/>
  <c r="K55" i="16"/>
  <c r="K56" i="16"/>
  <c r="L50" i="16"/>
  <c r="L51" i="16"/>
  <c r="L52" i="16"/>
  <c r="L53" i="16"/>
  <c r="L54" i="16"/>
  <c r="L55" i="16"/>
  <c r="L56" i="16"/>
  <c r="M50" i="16"/>
  <c r="M51" i="16"/>
  <c r="M52" i="16"/>
  <c r="M53" i="16"/>
  <c r="M54" i="16"/>
  <c r="M55" i="16"/>
  <c r="M56" i="16"/>
  <c r="N50" i="16"/>
  <c r="N51" i="16"/>
  <c r="N52" i="16"/>
  <c r="N53" i="16"/>
  <c r="N54" i="16"/>
  <c r="N55" i="16"/>
  <c r="N56" i="16"/>
  <c r="O50" i="16"/>
  <c r="O51" i="16"/>
  <c r="O52" i="16"/>
  <c r="O53" i="16"/>
  <c r="O54" i="16"/>
  <c r="O55" i="16"/>
  <c r="O56" i="16"/>
  <c r="P50" i="16"/>
  <c r="P51" i="16"/>
  <c r="P52" i="16"/>
  <c r="P53" i="16"/>
  <c r="P54" i="16"/>
  <c r="P55" i="16"/>
  <c r="P56" i="16"/>
  <c r="Q50" i="16"/>
  <c r="Q51" i="16"/>
  <c r="Q52" i="16"/>
  <c r="Q53" i="16"/>
  <c r="Q54" i="16"/>
  <c r="Q55" i="16"/>
  <c r="Q56" i="16"/>
  <c r="R50" i="16"/>
  <c r="R51" i="16"/>
  <c r="R52" i="16"/>
  <c r="R53" i="16"/>
  <c r="R54" i="16"/>
  <c r="R55" i="16"/>
  <c r="R56" i="16"/>
  <c r="S50" i="16"/>
  <c r="S51" i="16"/>
  <c r="S52" i="16"/>
  <c r="S53" i="16"/>
  <c r="S54" i="16"/>
  <c r="S55" i="16"/>
  <c r="S56" i="16"/>
  <c r="T50" i="16"/>
  <c r="T51" i="16"/>
  <c r="T52" i="16"/>
  <c r="T53" i="16"/>
  <c r="T54" i="16"/>
  <c r="T55" i="16"/>
  <c r="T56" i="16"/>
  <c r="U50" i="16"/>
  <c r="U51" i="16"/>
  <c r="U52" i="16"/>
  <c r="U53" i="16"/>
  <c r="U54" i="16"/>
  <c r="U55" i="16"/>
  <c r="U56" i="16"/>
  <c r="V50" i="16"/>
  <c r="V51" i="16"/>
  <c r="V52" i="16"/>
  <c r="V53" i="16"/>
  <c r="V54" i="16"/>
  <c r="V55" i="16"/>
  <c r="V56" i="16"/>
  <c r="W50" i="16"/>
  <c r="W51" i="16"/>
  <c r="W52" i="16"/>
  <c r="W53" i="16"/>
  <c r="W54" i="16"/>
  <c r="W55" i="16"/>
  <c r="W56" i="16"/>
  <c r="X50" i="16"/>
  <c r="X51" i="16"/>
  <c r="X52" i="16"/>
  <c r="X53" i="16"/>
  <c r="X54" i="16"/>
  <c r="X55" i="16"/>
  <c r="X56" i="16"/>
  <c r="Y50" i="16"/>
  <c r="Y51" i="16"/>
  <c r="Y52" i="16"/>
  <c r="Y53" i="16"/>
  <c r="Y54" i="16"/>
  <c r="Y55" i="16"/>
  <c r="Y56" i="16"/>
  <c r="Z50" i="16"/>
  <c r="Z51" i="16"/>
  <c r="Z52" i="16"/>
  <c r="Z53" i="16"/>
  <c r="Z54" i="16"/>
  <c r="Z55" i="16"/>
  <c r="Z56" i="16"/>
  <c r="AA50" i="16"/>
  <c r="AA51" i="16"/>
  <c r="AA52" i="16"/>
  <c r="AA53" i="16"/>
  <c r="AA54" i="16"/>
  <c r="AA55" i="16"/>
  <c r="AA56" i="16"/>
  <c r="AB50" i="16"/>
  <c r="AB51" i="16"/>
  <c r="AB52" i="16"/>
  <c r="AB53" i="16"/>
  <c r="AB54" i="16"/>
  <c r="AB55" i="16"/>
  <c r="AB56" i="16"/>
  <c r="AC50" i="16"/>
  <c r="AC51" i="16"/>
  <c r="AC52" i="16"/>
  <c r="AC53" i="16"/>
  <c r="AC54" i="16"/>
  <c r="AC55" i="16"/>
  <c r="AC56" i="16"/>
  <c r="AD50" i="16"/>
  <c r="AD51" i="16"/>
  <c r="AD52" i="16"/>
  <c r="AD53" i="16"/>
  <c r="AD54" i="16"/>
  <c r="AD55" i="16"/>
  <c r="AD56" i="16"/>
  <c r="AE50" i="16"/>
  <c r="AE51" i="16"/>
  <c r="AE52" i="16"/>
  <c r="AE53" i="16"/>
  <c r="AE54" i="16"/>
  <c r="AE55" i="16"/>
  <c r="AE56" i="16"/>
  <c r="AF50" i="16"/>
  <c r="AF51" i="16"/>
  <c r="AF52" i="16"/>
  <c r="AF53" i="16"/>
  <c r="AF54" i="16"/>
  <c r="AF55" i="16"/>
  <c r="AF56" i="16"/>
  <c r="AG50" i="16"/>
  <c r="AG51" i="16"/>
  <c r="AG52" i="16"/>
  <c r="AG53" i="16"/>
  <c r="AG54" i="16"/>
  <c r="AG55" i="16"/>
  <c r="AG56" i="16"/>
  <c r="AH50" i="16"/>
  <c r="AH51" i="16"/>
  <c r="AH52" i="16"/>
  <c r="AH53" i="16"/>
  <c r="AH54" i="16"/>
  <c r="AH55" i="16"/>
  <c r="AH56" i="16"/>
  <c r="AI50" i="16"/>
  <c r="AI51" i="16"/>
  <c r="AI52" i="16"/>
  <c r="AI53" i="16"/>
  <c r="AI54" i="16"/>
  <c r="AI55" i="16"/>
  <c r="AI56" i="16"/>
  <c r="AJ50" i="16"/>
  <c r="AJ51" i="16"/>
  <c r="AJ52" i="16"/>
  <c r="AJ53" i="16"/>
  <c r="AJ54" i="16"/>
  <c r="AJ55" i="16"/>
  <c r="AJ56" i="16"/>
  <c r="AK50" i="16"/>
  <c r="AK51" i="16"/>
  <c r="AK52" i="16"/>
  <c r="AK53" i="16"/>
  <c r="AK54" i="16"/>
  <c r="AK55" i="16"/>
  <c r="AK56" i="16"/>
  <c r="AL50" i="16"/>
  <c r="AL51" i="16"/>
  <c r="AL52" i="16"/>
  <c r="AL53" i="16"/>
  <c r="AL54" i="16"/>
  <c r="AL55" i="16"/>
  <c r="AL56" i="16"/>
  <c r="AM50" i="16"/>
  <c r="AM51" i="16"/>
  <c r="AM52" i="16"/>
  <c r="AM53" i="16"/>
  <c r="AM54" i="16"/>
  <c r="AM55" i="16"/>
  <c r="AM56" i="16"/>
  <c r="AN50" i="16"/>
  <c r="AN51" i="16"/>
  <c r="AN52" i="16"/>
  <c r="AN53" i="16"/>
  <c r="AN54" i="16"/>
  <c r="AN55" i="16"/>
  <c r="AN56" i="16"/>
  <c r="AO50" i="16"/>
  <c r="AO51" i="16"/>
  <c r="AO52" i="16"/>
  <c r="AO53" i="16"/>
  <c r="AO54" i="16"/>
  <c r="AO55" i="16"/>
  <c r="AO56" i="16"/>
  <c r="AP50" i="16"/>
  <c r="AP51" i="16"/>
  <c r="AP52" i="16"/>
  <c r="AP53" i="16"/>
  <c r="AP54" i="16"/>
  <c r="AP55" i="16"/>
  <c r="AP56" i="16"/>
  <c r="AQ50" i="16"/>
  <c r="AQ51" i="16"/>
  <c r="AQ52" i="16"/>
  <c r="AQ53" i="16"/>
  <c r="AQ54" i="16"/>
  <c r="AQ55" i="16"/>
  <c r="AQ56" i="16"/>
  <c r="AR50" i="16"/>
  <c r="AR51" i="16"/>
  <c r="AR52" i="16"/>
  <c r="AR53" i="16"/>
  <c r="AR54" i="16"/>
  <c r="AR55" i="16"/>
  <c r="AR56" i="16"/>
  <c r="AS50" i="16"/>
  <c r="AS51" i="16"/>
  <c r="AS52" i="16"/>
  <c r="AS53" i="16"/>
  <c r="AS54" i="16"/>
  <c r="AS55" i="16"/>
  <c r="AS56" i="16"/>
  <c r="AT50" i="16"/>
  <c r="AT51" i="16"/>
  <c r="AT52" i="16"/>
  <c r="AT53" i="16"/>
  <c r="AT54" i="16"/>
  <c r="AT55" i="16"/>
  <c r="AT56" i="16"/>
  <c r="AU50" i="16"/>
  <c r="AU51" i="16"/>
  <c r="AU52" i="16"/>
  <c r="AU53" i="16"/>
  <c r="AU54" i="16"/>
  <c r="AU55" i="16"/>
  <c r="AU56" i="16"/>
  <c r="AV50" i="16"/>
  <c r="AV51" i="16"/>
  <c r="AV52" i="16"/>
  <c r="AV53" i="16"/>
  <c r="AV54" i="16"/>
  <c r="AV55" i="16"/>
  <c r="AV56" i="16"/>
  <c r="AW50" i="16"/>
  <c r="AW51" i="16"/>
  <c r="AW52" i="16"/>
  <c r="AW53" i="16"/>
  <c r="AW54" i="16"/>
  <c r="AW55" i="16"/>
  <c r="AW56" i="16"/>
  <c r="I45" i="16"/>
  <c r="I46" i="16"/>
  <c r="I47" i="16"/>
  <c r="I48" i="16"/>
  <c r="J45" i="16"/>
  <c r="J46" i="16"/>
  <c r="J47" i="16"/>
  <c r="J48" i="16"/>
  <c r="K45" i="16"/>
  <c r="K46" i="16"/>
  <c r="K47" i="16"/>
  <c r="K48" i="16"/>
  <c r="L45" i="16"/>
  <c r="L46" i="16"/>
  <c r="L47" i="16"/>
  <c r="L48" i="16"/>
  <c r="M45" i="16"/>
  <c r="M46" i="16"/>
  <c r="M47" i="16"/>
  <c r="M48" i="16"/>
  <c r="N45" i="16"/>
  <c r="N46" i="16"/>
  <c r="N47" i="16"/>
  <c r="N48" i="16"/>
  <c r="O45" i="16"/>
  <c r="O46" i="16"/>
  <c r="O47" i="16"/>
  <c r="O48" i="16"/>
  <c r="P45" i="16"/>
  <c r="P46" i="16"/>
  <c r="P47" i="16"/>
  <c r="P48" i="16"/>
  <c r="Q45" i="16"/>
  <c r="Q46" i="16"/>
  <c r="Q47" i="16"/>
  <c r="Q48" i="16"/>
  <c r="R45" i="16"/>
  <c r="R46" i="16"/>
  <c r="R47" i="16"/>
  <c r="R48" i="16"/>
  <c r="S45" i="16"/>
  <c r="S46" i="16"/>
  <c r="S47" i="16"/>
  <c r="S48" i="16"/>
  <c r="T45" i="16"/>
  <c r="T46" i="16"/>
  <c r="T47" i="16"/>
  <c r="T48" i="16"/>
  <c r="U45" i="16"/>
  <c r="U46" i="16"/>
  <c r="U47" i="16"/>
  <c r="U48" i="16"/>
  <c r="V45" i="16"/>
  <c r="V46" i="16"/>
  <c r="V47" i="16"/>
  <c r="V48" i="16"/>
  <c r="W45" i="16"/>
  <c r="W46" i="16"/>
  <c r="W47" i="16"/>
  <c r="W48" i="16"/>
  <c r="X45" i="16"/>
  <c r="X46" i="16"/>
  <c r="X47" i="16"/>
  <c r="X48" i="16"/>
  <c r="Y45" i="16"/>
  <c r="Y46" i="16"/>
  <c r="Y47" i="16"/>
  <c r="Y48" i="16"/>
  <c r="Z45" i="16"/>
  <c r="Z46" i="16"/>
  <c r="Z47" i="16"/>
  <c r="Z48" i="16"/>
  <c r="AA45" i="16"/>
  <c r="AA46" i="16"/>
  <c r="AA47" i="16"/>
  <c r="AA48" i="16"/>
  <c r="AB45" i="16"/>
  <c r="AB46" i="16"/>
  <c r="AB47" i="16"/>
  <c r="AB48" i="16"/>
  <c r="AC45" i="16"/>
  <c r="AC46" i="16"/>
  <c r="AC47" i="16"/>
  <c r="AC48" i="16"/>
  <c r="AD45" i="16"/>
  <c r="AD46" i="16"/>
  <c r="AD47" i="16"/>
  <c r="AD48" i="16"/>
  <c r="AE45" i="16"/>
  <c r="AE46" i="16"/>
  <c r="AE47" i="16"/>
  <c r="AE48" i="16"/>
  <c r="AF45" i="16"/>
  <c r="AF46" i="16"/>
  <c r="AF47" i="16"/>
  <c r="AF48" i="16"/>
  <c r="AG45" i="16"/>
  <c r="AG46" i="16"/>
  <c r="AG47" i="16"/>
  <c r="AG48" i="16"/>
  <c r="AH45" i="16"/>
  <c r="AH46" i="16"/>
  <c r="AH47" i="16"/>
  <c r="AH48" i="16"/>
  <c r="AI45" i="16"/>
  <c r="AI46" i="16"/>
  <c r="AI47" i="16"/>
  <c r="AI48" i="16"/>
  <c r="AJ45" i="16"/>
  <c r="AJ46" i="16"/>
  <c r="AJ47" i="16"/>
  <c r="AJ48" i="16"/>
  <c r="AK45" i="16"/>
  <c r="AK46" i="16"/>
  <c r="AK47" i="16"/>
  <c r="AK48" i="16"/>
  <c r="AL45" i="16"/>
  <c r="AL46" i="16"/>
  <c r="AL47" i="16"/>
  <c r="AL48" i="16"/>
  <c r="AM45" i="16"/>
  <c r="AM46" i="16"/>
  <c r="AM47" i="16"/>
  <c r="AM48" i="16"/>
  <c r="AN45" i="16"/>
  <c r="AN46" i="16"/>
  <c r="AN47" i="16"/>
  <c r="AN48" i="16"/>
  <c r="AO45" i="16"/>
  <c r="AO46" i="16"/>
  <c r="AO47" i="16"/>
  <c r="AO48" i="16"/>
  <c r="AP45" i="16"/>
  <c r="AP46" i="16"/>
  <c r="AP47" i="16"/>
  <c r="AP48" i="16"/>
  <c r="AQ45" i="16"/>
  <c r="AQ46" i="16"/>
  <c r="AQ47" i="16"/>
  <c r="AQ48" i="16"/>
  <c r="AR45" i="16"/>
  <c r="AR46" i="16"/>
  <c r="AR47" i="16"/>
  <c r="AR48" i="16"/>
  <c r="AS45" i="16"/>
  <c r="AS46" i="16"/>
  <c r="AS47" i="16"/>
  <c r="AS48" i="16"/>
  <c r="AT45" i="16"/>
  <c r="AT46" i="16"/>
  <c r="AT47" i="16"/>
  <c r="AT48" i="16"/>
  <c r="AU45" i="16"/>
  <c r="AU46" i="16"/>
  <c r="AU47" i="16"/>
  <c r="AU48" i="16"/>
  <c r="AV45" i="16"/>
  <c r="AV46" i="16"/>
  <c r="AV47" i="16"/>
  <c r="AV48" i="16"/>
  <c r="AW45" i="16"/>
  <c r="AW46" i="16"/>
  <c r="AW47" i="16"/>
  <c r="AW48" i="16"/>
  <c r="AR57" i="16"/>
  <c r="AS57" i="16"/>
  <c r="AT57" i="16"/>
  <c r="AU57" i="16"/>
  <c r="AV57" i="16"/>
  <c r="AW57" i="16"/>
  <c r="AR69" i="16"/>
  <c r="AS69" i="16"/>
  <c r="AT69" i="16"/>
  <c r="AU69" i="16"/>
  <c r="AV69" i="16"/>
  <c r="AW69" i="16"/>
  <c r="AR43" i="16"/>
  <c r="AS43" i="16"/>
  <c r="AT43" i="16"/>
  <c r="AU43" i="16"/>
  <c r="AV43" i="16"/>
  <c r="AW43" i="16"/>
  <c r="C80" i="16"/>
  <c r="C83" i="16"/>
  <c r="C84" i="16"/>
  <c r="C85" i="16"/>
  <c r="F45" i="16"/>
  <c r="G45" i="16"/>
  <c r="H45" i="16"/>
  <c r="AX45" i="16"/>
  <c r="AY45" i="16"/>
  <c r="AZ45" i="16"/>
  <c r="BA45" i="16"/>
  <c r="BB45" i="16"/>
  <c r="BC45" i="16"/>
  <c r="F46" i="16"/>
  <c r="G46" i="16"/>
  <c r="H46" i="16"/>
  <c r="AX46" i="16"/>
  <c r="AY46" i="16"/>
  <c r="AZ46" i="16"/>
  <c r="BA46" i="16"/>
  <c r="BB46" i="16"/>
  <c r="BC46" i="16"/>
  <c r="F47" i="16"/>
  <c r="G47" i="16"/>
  <c r="H47" i="16"/>
  <c r="AX47" i="16"/>
  <c r="AY47" i="16"/>
  <c r="AZ47" i="16"/>
  <c r="BA47" i="16"/>
  <c r="BB47" i="16"/>
  <c r="BC47" i="16"/>
  <c r="F48" i="16"/>
  <c r="G48" i="16"/>
  <c r="H48" i="16"/>
  <c r="AX48" i="16"/>
  <c r="AY48" i="16"/>
  <c r="AZ48" i="16"/>
  <c r="BA48" i="16"/>
  <c r="BB48" i="16"/>
  <c r="BC48" i="16"/>
  <c r="F50" i="16"/>
  <c r="G50" i="16"/>
  <c r="H50" i="16"/>
  <c r="AX50" i="16"/>
  <c r="AY50" i="16"/>
  <c r="AZ50" i="16"/>
  <c r="BA50" i="16"/>
  <c r="BB50" i="16"/>
  <c r="BC50" i="16"/>
  <c r="F51" i="16"/>
  <c r="G51" i="16"/>
  <c r="H51" i="16"/>
  <c r="AX51" i="16"/>
  <c r="AY51" i="16"/>
  <c r="AZ51" i="16"/>
  <c r="BA51" i="16"/>
  <c r="BB51" i="16"/>
  <c r="BC51" i="16"/>
  <c r="F52" i="16"/>
  <c r="G52" i="16"/>
  <c r="H52" i="16"/>
  <c r="AX52" i="16"/>
  <c r="AY52" i="16"/>
  <c r="AZ52" i="16"/>
  <c r="BA52" i="16"/>
  <c r="BB52" i="16"/>
  <c r="BC52" i="16"/>
  <c r="F53" i="16"/>
  <c r="G53" i="16"/>
  <c r="H53" i="16"/>
  <c r="AX53" i="16"/>
  <c r="AY53" i="16"/>
  <c r="AZ53" i="16"/>
  <c r="BA53" i="16"/>
  <c r="BB53" i="16"/>
  <c r="BC53" i="16"/>
  <c r="F54" i="16"/>
  <c r="G54" i="16"/>
  <c r="H54" i="16"/>
  <c r="AX54" i="16"/>
  <c r="AY54" i="16"/>
  <c r="AZ54" i="16"/>
  <c r="BA54" i="16"/>
  <c r="BB54" i="16"/>
  <c r="BC54" i="16"/>
  <c r="F55" i="16"/>
  <c r="G55" i="16"/>
  <c r="H55" i="16"/>
  <c r="AX55" i="16"/>
  <c r="AY55" i="16"/>
  <c r="AZ55" i="16"/>
  <c r="BA55" i="16"/>
  <c r="BB55" i="16"/>
  <c r="BC55" i="16"/>
  <c r="F56" i="16"/>
  <c r="G56" i="16"/>
  <c r="H56" i="16"/>
  <c r="AX56" i="16"/>
  <c r="AY56" i="16"/>
  <c r="AZ56" i="16"/>
  <c r="BA56" i="16"/>
  <c r="BB56" i="16"/>
  <c r="BC56" i="16"/>
  <c r="F57" i="16"/>
  <c r="G57" i="16"/>
  <c r="H57" i="16"/>
  <c r="I57" i="16"/>
  <c r="J57" i="16"/>
  <c r="K57" i="16"/>
  <c r="L57" i="16"/>
  <c r="M57" i="16"/>
  <c r="N57" i="16"/>
  <c r="O57" i="16"/>
  <c r="P57" i="16"/>
  <c r="Q57" i="16"/>
  <c r="R57" i="16"/>
  <c r="S57" i="16"/>
  <c r="T57" i="16"/>
  <c r="U57" i="16"/>
  <c r="V57" i="16"/>
  <c r="W57" i="16"/>
  <c r="X57" i="16"/>
  <c r="Y57" i="16"/>
  <c r="Z57" i="16"/>
  <c r="AA57" i="16"/>
  <c r="AB57" i="16"/>
  <c r="AC57" i="16"/>
  <c r="AD57" i="16"/>
  <c r="AE57" i="16"/>
  <c r="AF57" i="16"/>
  <c r="AG57" i="16"/>
  <c r="AH57" i="16"/>
  <c r="AI57" i="16"/>
  <c r="AJ57" i="16"/>
  <c r="AK57" i="16"/>
  <c r="AL57" i="16"/>
  <c r="AM57" i="16"/>
  <c r="AN57" i="16"/>
  <c r="AO57" i="16"/>
  <c r="AP57" i="16"/>
  <c r="AQ57" i="16"/>
  <c r="AX57" i="16"/>
  <c r="AY57" i="16"/>
  <c r="AZ57" i="16"/>
  <c r="BA57" i="16"/>
  <c r="BB57" i="16"/>
  <c r="BC57" i="16"/>
  <c r="F59" i="16"/>
  <c r="G59" i="16"/>
  <c r="H59" i="16"/>
  <c r="AX59" i="16"/>
  <c r="AY59" i="16"/>
  <c r="AZ59" i="16"/>
  <c r="BA59" i="16"/>
  <c r="BB59" i="16"/>
  <c r="BC59" i="16"/>
  <c r="F60" i="16"/>
  <c r="G60" i="16"/>
  <c r="H60" i="16"/>
  <c r="AX60" i="16"/>
  <c r="AY60" i="16"/>
  <c r="AZ60" i="16"/>
  <c r="BA60" i="16"/>
  <c r="BB60" i="16"/>
  <c r="BC60" i="16"/>
  <c r="F61" i="16"/>
  <c r="G61" i="16"/>
  <c r="H61" i="16"/>
  <c r="AX61" i="16"/>
  <c r="AY61" i="16"/>
  <c r="AZ61" i="16"/>
  <c r="BA61" i="16"/>
  <c r="BB61" i="16"/>
  <c r="BC61" i="16"/>
  <c r="F62" i="16"/>
  <c r="G62" i="16"/>
  <c r="H62" i="16"/>
  <c r="AX62" i="16"/>
  <c r="AY62" i="16"/>
  <c r="AZ62" i="16"/>
  <c r="BA62" i="16"/>
  <c r="BB62" i="16"/>
  <c r="BC62" i="16"/>
  <c r="F63" i="16"/>
  <c r="G63" i="16"/>
  <c r="H63" i="16"/>
  <c r="AX63" i="16"/>
  <c r="AY63" i="16"/>
  <c r="AZ63" i="16"/>
  <c r="BA63" i="16"/>
  <c r="BB63" i="16"/>
  <c r="BC63" i="16"/>
  <c r="F64" i="16"/>
  <c r="G64" i="16"/>
  <c r="H64" i="16"/>
  <c r="AX64" i="16"/>
  <c r="AY64" i="16"/>
  <c r="AZ64" i="16"/>
  <c r="BA64" i="16"/>
  <c r="BB64" i="16"/>
  <c r="BC64" i="16"/>
  <c r="F65" i="16"/>
  <c r="G65" i="16"/>
  <c r="H65" i="16"/>
  <c r="AX65" i="16"/>
  <c r="AY65" i="16"/>
  <c r="AZ65" i="16"/>
  <c r="BA65" i="16"/>
  <c r="BB65" i="16"/>
  <c r="BC65" i="16"/>
  <c r="F66" i="16"/>
  <c r="G66" i="16"/>
  <c r="H66" i="16"/>
  <c r="AX66" i="16"/>
  <c r="AY66" i="16"/>
  <c r="AZ66" i="16"/>
  <c r="BA66" i="16"/>
  <c r="BB66" i="16"/>
  <c r="BC66" i="16"/>
  <c r="F69" i="16"/>
  <c r="G69" i="16"/>
  <c r="H69" i="16"/>
  <c r="I69" i="16"/>
  <c r="J69" i="16"/>
  <c r="K69" i="16"/>
  <c r="L69" i="16"/>
  <c r="M69" i="16"/>
  <c r="N69" i="16"/>
  <c r="O69" i="16"/>
  <c r="P69" i="16"/>
  <c r="Q69" i="16"/>
  <c r="R69" i="16"/>
  <c r="S69" i="16"/>
  <c r="T69" i="16"/>
  <c r="U69" i="16"/>
  <c r="V69" i="16"/>
  <c r="W69" i="16"/>
  <c r="X69" i="16"/>
  <c r="Y69" i="16"/>
  <c r="Z69" i="16"/>
  <c r="AA69" i="16"/>
  <c r="AB69" i="16"/>
  <c r="AC69" i="16"/>
  <c r="AD69" i="16"/>
  <c r="AE69" i="16"/>
  <c r="AF69" i="16"/>
  <c r="AG69" i="16"/>
  <c r="AH69" i="16"/>
  <c r="AI69" i="16"/>
  <c r="AJ69" i="16"/>
  <c r="AK69" i="16"/>
  <c r="AL69" i="16"/>
  <c r="AM69" i="16"/>
  <c r="AN69" i="16"/>
  <c r="AO69" i="16"/>
  <c r="AP69" i="16"/>
  <c r="AQ69" i="16"/>
  <c r="AX69" i="16"/>
  <c r="AY69" i="16"/>
  <c r="AZ69" i="16"/>
  <c r="BA69" i="16"/>
  <c r="BB69" i="16"/>
  <c r="BC69" i="16"/>
  <c r="F43" i="16"/>
  <c r="G43" i="16"/>
  <c r="H43" i="16"/>
  <c r="I43" i="16"/>
  <c r="J43" i="16"/>
  <c r="K43" i="16"/>
  <c r="L43" i="16"/>
  <c r="M43" i="16"/>
  <c r="N43" i="16"/>
  <c r="O43" i="16"/>
  <c r="P43" i="16"/>
  <c r="Q43" i="16"/>
  <c r="R43" i="16"/>
  <c r="S43" i="16"/>
  <c r="T43" i="16"/>
  <c r="U43" i="16"/>
  <c r="V43" i="16"/>
  <c r="W43" i="16"/>
  <c r="X43" i="16"/>
  <c r="Y43" i="16"/>
  <c r="Z43" i="16"/>
  <c r="AA43" i="16"/>
  <c r="AB43" i="16"/>
  <c r="AC43" i="16"/>
  <c r="AD43" i="16"/>
  <c r="AE43" i="16"/>
  <c r="AF43" i="16"/>
  <c r="AG43" i="16"/>
  <c r="AH43" i="16"/>
  <c r="AI43" i="16"/>
  <c r="AJ43" i="16"/>
  <c r="AK43" i="16"/>
  <c r="AL43" i="16"/>
  <c r="AM43" i="16"/>
  <c r="AN43" i="16"/>
  <c r="AO43" i="16"/>
  <c r="AP43" i="16"/>
  <c r="AQ43" i="16"/>
  <c r="AX43" i="16"/>
  <c r="AY43" i="16"/>
  <c r="AZ43" i="16"/>
  <c r="BA43" i="16"/>
  <c r="BB43" i="16"/>
  <c r="BC43" i="16"/>
  <c r="F76" i="16"/>
  <c r="G76" i="16" s="1"/>
  <c r="C77" i="16"/>
  <c r="B50" i="16"/>
  <c r="B51" i="16"/>
  <c r="B52" i="16"/>
  <c r="B53" i="16"/>
  <c r="B54" i="16"/>
  <c r="B55" i="16"/>
  <c r="B56" i="16"/>
  <c r="B57" i="16"/>
  <c r="B59" i="16"/>
  <c r="B60" i="16"/>
  <c r="B61" i="16"/>
  <c r="B62" i="16"/>
  <c r="B63" i="16"/>
  <c r="B64" i="16"/>
  <c r="B65" i="16"/>
  <c r="B66" i="16"/>
  <c r="B68" i="16"/>
  <c r="B69" i="16"/>
  <c r="B71" i="16"/>
  <c r="M18" i="19"/>
  <c r="K101" i="16"/>
  <c r="C8" i="2"/>
  <c r="C9" i="2"/>
  <c r="C10" i="2"/>
  <c r="C11" i="2"/>
  <c r="D182" i="13"/>
  <c r="F42" i="21"/>
  <c r="G42" i="21"/>
  <c r="E42" i="21"/>
  <c r="J18" i="19"/>
  <c r="D7" i="18"/>
  <c r="D108" i="18" s="1"/>
  <c r="D18" i="18"/>
  <c r="E108" i="18" s="1"/>
  <c r="D8" i="18"/>
  <c r="D19" i="18"/>
  <c r="D9" i="18"/>
  <c r="D20" i="18"/>
  <c r="D10" i="18"/>
  <c r="D111" i="18" s="1"/>
  <c r="D21" i="18"/>
  <c r="D22" i="18"/>
  <c r="D12" i="18"/>
  <c r="H12" i="18" s="1"/>
  <c r="I12" i="18" s="1"/>
  <c r="J12" i="18" s="1"/>
  <c r="D23" i="18"/>
  <c r="F27" i="21"/>
  <c r="D14" i="18"/>
  <c r="D25" i="18"/>
  <c r="E115" i="18" s="1"/>
  <c r="G27" i="21"/>
  <c r="D15" i="18" s="1"/>
  <c r="D116" i="18" s="1"/>
  <c r="D26" i="18"/>
  <c r="E27" i="21"/>
  <c r="D13" i="18" s="1"/>
  <c r="D24" i="18"/>
  <c r="C43" i="16"/>
  <c r="R101" i="16"/>
  <c r="R100" i="16"/>
  <c r="I3" i="18"/>
  <c r="B3" i="18"/>
  <c r="E21" i="2"/>
  <c r="D21" i="2"/>
  <c r="D22" i="2" s="1"/>
  <c r="K6" i="21"/>
  <c r="J6" i="21"/>
  <c r="I6" i="21"/>
  <c r="G6" i="21"/>
  <c r="F6" i="21"/>
  <c r="E6" i="21"/>
  <c r="C154" i="13"/>
  <c r="F15" i="19"/>
  <c r="L14" i="11"/>
  <c r="L13" i="11"/>
  <c r="L12" i="11"/>
  <c r="C22" i="11" s="1"/>
  <c r="C23" i="11" s="1"/>
  <c r="L9" i="11"/>
  <c r="L8" i="11"/>
  <c r="L7" i="11"/>
  <c r="K3" i="21"/>
  <c r="B3" i="21"/>
  <c r="H39" i="18"/>
  <c r="I39" i="18"/>
  <c r="G39" i="18"/>
  <c r="E39" i="18"/>
  <c r="F39" i="18"/>
  <c r="D39" i="18"/>
  <c r="K37" i="18"/>
  <c r="L37" i="18"/>
  <c r="K38" i="18"/>
  <c r="L38" i="18"/>
  <c r="K42" i="18"/>
  <c r="L42" i="18"/>
  <c r="J42" i="18"/>
  <c r="J38" i="18"/>
  <c r="J37" i="18"/>
  <c r="H37" i="18"/>
  <c r="I37" i="18"/>
  <c r="H38" i="18"/>
  <c r="I38" i="18"/>
  <c r="H42" i="18"/>
  <c r="I42" i="18"/>
  <c r="G42" i="18"/>
  <c r="G38" i="18"/>
  <c r="G37" i="18"/>
  <c r="G41" i="18"/>
  <c r="L41" i="18"/>
  <c r="E37" i="18"/>
  <c r="F37" i="18"/>
  <c r="E38" i="18"/>
  <c r="F38" i="18"/>
  <c r="E42" i="18"/>
  <c r="F42" i="18"/>
  <c r="D42" i="18"/>
  <c r="D38" i="18"/>
  <c r="D37" i="18"/>
  <c r="K30" i="18"/>
  <c r="K34" i="18" s="1"/>
  <c r="L30" i="18"/>
  <c r="L34" i="18" s="1"/>
  <c r="F116" i="18" s="1"/>
  <c r="L31" i="18"/>
  <c r="L32" i="18"/>
  <c r="L33" i="18"/>
  <c r="K31" i="18"/>
  <c r="K32" i="18"/>
  <c r="K33" i="18"/>
  <c r="J33" i="18"/>
  <c r="J32" i="18"/>
  <c r="J31" i="18"/>
  <c r="J30" i="18"/>
  <c r="I31" i="18"/>
  <c r="I32" i="18"/>
  <c r="I33" i="18"/>
  <c r="H31" i="18"/>
  <c r="H32" i="18"/>
  <c r="H33" i="18"/>
  <c r="G33" i="18"/>
  <c r="G31" i="18"/>
  <c r="G32" i="18"/>
  <c r="G34" i="18"/>
  <c r="F111" i="18" s="1"/>
  <c r="E33" i="18"/>
  <c r="F33" i="18"/>
  <c r="D33" i="18"/>
  <c r="E32" i="18"/>
  <c r="F32" i="18"/>
  <c r="D32" i="18"/>
  <c r="E31" i="18"/>
  <c r="F31" i="18"/>
  <c r="D31" i="18"/>
  <c r="E30" i="18"/>
  <c r="F30" i="18"/>
  <c r="S3" i="2"/>
  <c r="E1" i="13"/>
  <c r="I3" i="11"/>
  <c r="B3" i="16"/>
  <c r="B3" i="2"/>
  <c r="A141" i="13"/>
  <c r="B3" i="11"/>
  <c r="F13" i="19"/>
  <c r="F12" i="19"/>
  <c r="C33" i="16"/>
  <c r="C34" i="16"/>
  <c r="C32" i="16"/>
  <c r="P21" i="2"/>
  <c r="O21" i="2"/>
  <c r="N21" i="2"/>
  <c r="M21" i="2"/>
  <c r="L21" i="2"/>
  <c r="K21" i="2"/>
  <c r="J21" i="2"/>
  <c r="I21" i="2"/>
  <c r="H21" i="2"/>
  <c r="G21" i="2"/>
  <c r="F21" i="2"/>
  <c r="D13" i="11"/>
  <c r="D14" i="11"/>
  <c r="D15" i="11"/>
  <c r="C16" i="11"/>
  <c r="D16" i="11" s="1"/>
  <c r="C12" i="2"/>
  <c r="D34" i="18"/>
  <c r="F108" i="18" s="1"/>
  <c r="E22" i="2"/>
  <c r="F22" i="2" s="1"/>
  <c r="H19" i="18"/>
  <c r="C25" i="11"/>
  <c r="G22" i="2"/>
  <c r="H34" i="18" l="1"/>
  <c r="E34" i="18"/>
  <c r="D47" i="18" s="1"/>
  <c r="BB83" i="16"/>
  <c r="AN83" i="16"/>
  <c r="AF83" i="16"/>
  <c r="X83" i="16"/>
  <c r="P83" i="16"/>
  <c r="H83" i="16"/>
  <c r="D15" i="16"/>
  <c r="D14" i="16"/>
  <c r="D13" i="16"/>
  <c r="H18" i="18"/>
  <c r="K41" i="18"/>
  <c r="D64" i="18" s="1"/>
  <c r="H41" i="18"/>
  <c r="D61" i="18" s="1"/>
  <c r="D50" i="18"/>
  <c r="F112" i="18"/>
  <c r="E116" i="18"/>
  <c r="E112" i="18"/>
  <c r="D53" i="18"/>
  <c r="F115" i="18"/>
  <c r="H116" i="18"/>
  <c r="E50" i="18"/>
  <c r="D112" i="18"/>
  <c r="H21" i="18"/>
  <c r="I21" i="18" s="1"/>
  <c r="I60" i="18" s="1"/>
  <c r="E111" i="18"/>
  <c r="H111" i="18"/>
  <c r="F12" i="26"/>
  <c r="D115" i="18"/>
  <c r="E114" i="18"/>
  <c r="F11" i="26"/>
  <c r="D114" i="18"/>
  <c r="D65" i="18"/>
  <c r="G116" i="18"/>
  <c r="D60" i="18"/>
  <c r="G111" i="18"/>
  <c r="I111" i="18" s="1"/>
  <c r="H108" i="18"/>
  <c r="J34" i="18"/>
  <c r="E53" i="18"/>
  <c r="F8" i="16"/>
  <c r="F16" i="16" s="1"/>
  <c r="D13" i="2"/>
  <c r="F11" i="16"/>
  <c r="F7" i="16"/>
  <c r="AR83" i="16"/>
  <c r="E46" i="18"/>
  <c r="I41" i="18"/>
  <c r="D62" i="18" s="1"/>
  <c r="AJ83" i="16"/>
  <c r="AB83" i="16"/>
  <c r="T83" i="16"/>
  <c r="L83" i="16"/>
  <c r="AQ83" i="16"/>
  <c r="AI83" i="16"/>
  <c r="S83" i="16"/>
  <c r="K83" i="16"/>
  <c r="AV83" i="16"/>
  <c r="BC83" i="16"/>
  <c r="AG83" i="16"/>
  <c r="Y83" i="16"/>
  <c r="Q83" i="16"/>
  <c r="I83" i="16"/>
  <c r="D46" i="18"/>
  <c r="I34" i="18"/>
  <c r="G51" i="18" s="1"/>
  <c r="C21" i="2"/>
  <c r="AX7" i="16"/>
  <c r="AQ12" i="16"/>
  <c r="AB12" i="16"/>
  <c r="AQ8" i="16"/>
  <c r="AB9" i="16"/>
  <c r="AT12" i="16"/>
  <c r="AQ7" i="16"/>
  <c r="AG9" i="16"/>
  <c r="AB8" i="16"/>
  <c r="BC12" i="16"/>
  <c r="AW9" i="16"/>
  <c r="BC9" i="16"/>
  <c r="BC8" i="16"/>
  <c r="AP8" i="16"/>
  <c r="AA12" i="16"/>
  <c r="AX8" i="16"/>
  <c r="AP7" i="16"/>
  <c r="AI12" i="16"/>
  <c r="AA8" i="16"/>
  <c r="V12" i="16"/>
  <c r="T12" i="16"/>
  <c r="G54" i="18"/>
  <c r="F13" i="26"/>
  <c r="T9" i="16"/>
  <c r="T8" i="16"/>
  <c r="R8" i="16"/>
  <c r="O9" i="16"/>
  <c r="O8" i="16"/>
  <c r="O7" i="16"/>
  <c r="F41" i="18"/>
  <c r="G59" i="18" s="1"/>
  <c r="E41" i="18"/>
  <c r="H58" i="18" s="1"/>
  <c r="F34" i="18"/>
  <c r="G48" i="18" s="1"/>
  <c r="E47" i="18"/>
  <c r="AT83" i="16"/>
  <c r="K12" i="18"/>
  <c r="L12" i="18" s="1"/>
  <c r="D41" i="18"/>
  <c r="AX80" i="16"/>
  <c r="I19" i="18"/>
  <c r="H20" i="18"/>
  <c r="AZ84" i="16"/>
  <c r="AX84" i="16"/>
  <c r="H76" i="16"/>
  <c r="L19" i="11"/>
  <c r="C12" i="26"/>
  <c r="O31" i="26" s="1"/>
  <c r="E21" i="11"/>
  <c r="L18" i="11"/>
  <c r="C11" i="26"/>
  <c r="L20" i="11"/>
  <c r="C13" i="26"/>
  <c r="P31" i="26" s="1"/>
  <c r="AJ84" i="16"/>
  <c r="F68" i="16"/>
  <c r="BC85" i="16"/>
  <c r="F85" i="16"/>
  <c r="S85" i="16"/>
  <c r="F84" i="16"/>
  <c r="AY84" i="16"/>
  <c r="BB85" i="16"/>
  <c r="BB84" i="16"/>
  <c r="AZ85" i="16"/>
  <c r="BA84" i="16"/>
  <c r="AI84" i="16"/>
  <c r="R84" i="16"/>
  <c r="AB84" i="16"/>
  <c r="AQ85" i="16"/>
  <c r="K85" i="16"/>
  <c r="AA84" i="16"/>
  <c r="AU84" i="16"/>
  <c r="T84" i="16"/>
  <c r="AG85" i="16"/>
  <c r="K84" i="16"/>
  <c r="AA80" i="16"/>
  <c r="AA83" i="16"/>
  <c r="R85" i="16"/>
  <c r="AQ84" i="16"/>
  <c r="Z84" i="16"/>
  <c r="Q85" i="16"/>
  <c r="AN84" i="16"/>
  <c r="X84" i="16"/>
  <c r="AX83" i="16"/>
  <c r="AY85" i="16"/>
  <c r="AO85" i="16"/>
  <c r="J85" i="16"/>
  <c r="S84" i="16"/>
  <c r="AK85" i="16"/>
  <c r="H85" i="16"/>
  <c r="AH84" i="16"/>
  <c r="AF84" i="16"/>
  <c r="P84" i="16"/>
  <c r="AA85" i="16"/>
  <c r="N84" i="16"/>
  <c r="AK84" i="16"/>
  <c r="AL84" i="16"/>
  <c r="P85" i="16"/>
  <c r="BB80" i="16"/>
  <c r="AX85" i="16"/>
  <c r="V84" i="16"/>
  <c r="L80" i="16"/>
  <c r="L84" i="16"/>
  <c r="V85" i="16"/>
  <c r="I85" i="16"/>
  <c r="AN85" i="16"/>
  <c r="AD84" i="16"/>
  <c r="M85" i="16"/>
  <c r="AM84" i="16"/>
  <c r="AE84" i="16"/>
  <c r="W84" i="16"/>
  <c r="AP85" i="16"/>
  <c r="AI80" i="16"/>
  <c r="AI85" i="16"/>
  <c r="AH85" i="16"/>
  <c r="AC85" i="16"/>
  <c r="N85" i="16"/>
  <c r="AC84" i="16"/>
  <c r="AF80" i="16"/>
  <c r="AF85" i="16"/>
  <c r="Y85" i="16"/>
  <c r="AB85" i="16"/>
  <c r="X80" i="16"/>
  <c r="J84" i="16"/>
  <c r="AG80" i="16"/>
  <c r="AG84" i="16"/>
  <c r="Y80" i="16"/>
  <c r="Y84" i="16"/>
  <c r="O84" i="16"/>
  <c r="AU85" i="16"/>
  <c r="AQ80" i="16"/>
  <c r="AD85" i="16"/>
  <c r="Z85" i="16"/>
  <c r="X85" i="16"/>
  <c r="U84" i="16"/>
  <c r="L85" i="16"/>
  <c r="H84" i="16"/>
  <c r="AT85" i="16"/>
  <c r="I84" i="16"/>
  <c r="I80" i="16"/>
  <c r="AO80" i="16"/>
  <c r="AO83" i="16"/>
  <c r="AO84" i="16"/>
  <c r="Q80" i="16"/>
  <c r="Q84" i="16"/>
  <c r="S80" i="16"/>
  <c r="AL85" i="16"/>
  <c r="P80" i="16"/>
  <c r="U85" i="16"/>
  <c r="T85" i="16"/>
  <c r="T80" i="16"/>
  <c r="K80" i="16"/>
  <c r="BA85" i="16"/>
  <c r="AS84" i="16"/>
  <c r="BB73" i="16"/>
  <c r="BB77" i="16" s="1"/>
  <c r="BC84" i="16"/>
  <c r="BC80" i="16"/>
  <c r="G84" i="16"/>
  <c r="E52" i="18"/>
  <c r="Z80" i="16"/>
  <c r="Z83" i="16"/>
  <c r="D43" i="16"/>
  <c r="H22" i="2"/>
  <c r="H9" i="18"/>
  <c r="F46" i="18"/>
  <c r="D54" i="18"/>
  <c r="AH83" i="16"/>
  <c r="AH80" i="16"/>
  <c r="D52" i="18"/>
  <c r="AP80" i="16"/>
  <c r="AP83" i="16"/>
  <c r="J80" i="16"/>
  <c r="J83" i="16"/>
  <c r="AU83" i="16"/>
  <c r="R80" i="16"/>
  <c r="R83" i="16"/>
  <c r="J41" i="18"/>
  <c r="D49" i="18"/>
  <c r="AM85" i="16"/>
  <c r="AE85" i="16"/>
  <c r="W85" i="16"/>
  <c r="O85" i="16"/>
  <c r="G85" i="16"/>
  <c r="D57" i="16"/>
  <c r="AR85" i="16"/>
  <c r="D55" i="16"/>
  <c r="AN80" i="16"/>
  <c r="M84" i="16"/>
  <c r="D54" i="16"/>
  <c r="AJ85" i="16"/>
  <c r="D61" i="16"/>
  <c r="H80" i="16"/>
  <c r="BA80" i="16"/>
  <c r="BA83" i="16"/>
  <c r="AM80" i="16"/>
  <c r="AM83" i="16"/>
  <c r="AE80" i="16"/>
  <c r="AE83" i="16"/>
  <c r="W80" i="16"/>
  <c r="W83" i="16"/>
  <c r="O80" i="16"/>
  <c r="O83" i="16"/>
  <c r="G80" i="16"/>
  <c r="G83" i="16"/>
  <c r="AJ80" i="16"/>
  <c r="AZ80" i="16"/>
  <c r="AZ83" i="16"/>
  <c r="AL80" i="16"/>
  <c r="AL83" i="16"/>
  <c r="AD80" i="16"/>
  <c r="AD83" i="16"/>
  <c r="V80" i="16"/>
  <c r="V83" i="16"/>
  <c r="N80" i="16"/>
  <c r="N83" i="16"/>
  <c r="F80" i="16"/>
  <c r="F83" i="16"/>
  <c r="D65" i="16"/>
  <c r="AP84" i="16"/>
  <c r="AB80" i="16"/>
  <c r="AY80" i="16"/>
  <c r="AY83" i="16"/>
  <c r="AK80" i="16"/>
  <c r="AK83" i="16"/>
  <c r="AC80" i="16"/>
  <c r="AC83" i="16"/>
  <c r="U80" i="16"/>
  <c r="U83" i="16"/>
  <c r="M80" i="16"/>
  <c r="M83" i="16"/>
  <c r="AS85" i="16"/>
  <c r="D47" i="16"/>
  <c r="D66" i="16"/>
  <c r="D62" i="16"/>
  <c r="AR80" i="16"/>
  <c r="AV80" i="16"/>
  <c r="AS80" i="16"/>
  <c r="AW80" i="16"/>
  <c r="AT80" i="16"/>
  <c r="AU80" i="16"/>
  <c r="AW85" i="16"/>
  <c r="D50" i="16"/>
  <c r="D48" i="16"/>
  <c r="AW83" i="16"/>
  <c r="AS83" i="16"/>
  <c r="D56" i="16"/>
  <c r="D63" i="16"/>
  <c r="D59" i="16"/>
  <c r="D45" i="16"/>
  <c r="D53" i="16"/>
  <c r="D46" i="16"/>
  <c r="AV85" i="16"/>
  <c r="D69" i="16"/>
  <c r="D64" i="16"/>
  <c r="D60" i="16"/>
  <c r="D52" i="16"/>
  <c r="D51" i="16"/>
  <c r="AV84" i="16"/>
  <c r="AR84" i="16"/>
  <c r="AS8" i="16"/>
  <c r="AS9" i="16"/>
  <c r="AS12" i="16"/>
  <c r="AT84" i="16"/>
  <c r="X7" i="16"/>
  <c r="X8" i="16"/>
  <c r="X9" i="16"/>
  <c r="X12" i="16"/>
  <c r="M8" i="16"/>
  <c r="M9" i="16"/>
  <c r="M10" i="16"/>
  <c r="M11" i="16"/>
  <c r="M12" i="16"/>
  <c r="AW84" i="16"/>
  <c r="AV7" i="16"/>
  <c r="AV8" i="16"/>
  <c r="AV9" i="16"/>
  <c r="AV12" i="16"/>
  <c r="P7" i="16"/>
  <c r="P8" i="16"/>
  <c r="P9" i="16"/>
  <c r="P12" i="16"/>
  <c r="L16" i="16"/>
  <c r="AK8" i="16"/>
  <c r="AK9" i="16"/>
  <c r="AK12" i="16"/>
  <c r="AN7" i="16"/>
  <c r="AN8" i="16"/>
  <c r="AN9" i="16"/>
  <c r="AN12" i="16"/>
  <c r="G7" i="16"/>
  <c r="G8" i="16"/>
  <c r="E13" i="2"/>
  <c r="G9" i="16"/>
  <c r="G10" i="16"/>
  <c r="G11" i="16"/>
  <c r="G12" i="16"/>
  <c r="AC8" i="16"/>
  <c r="AC9" i="16"/>
  <c r="AC12" i="16"/>
  <c r="AF7" i="16"/>
  <c r="AF8" i="16"/>
  <c r="AF9" i="16"/>
  <c r="AF12" i="16"/>
  <c r="BA8" i="16"/>
  <c r="BA9" i="16"/>
  <c r="BA12" i="16"/>
  <c r="U8" i="16"/>
  <c r="U9" i="16"/>
  <c r="U12" i="16"/>
  <c r="BB9" i="16"/>
  <c r="AW8" i="16"/>
  <c r="AT9" i="16"/>
  <c r="AO8" i="16"/>
  <c r="AL9" i="16"/>
  <c r="AG8" i="16"/>
  <c r="AD9" i="16"/>
  <c r="Y8" i="16"/>
  <c r="V9" i="16"/>
  <c r="Q8" i="16"/>
  <c r="N9" i="16"/>
  <c r="K10" i="16"/>
  <c r="K16" i="16" s="1"/>
  <c r="H8" i="16"/>
  <c r="I9" i="16"/>
  <c r="BB8" i="16"/>
  <c r="AX12" i="16"/>
  <c r="AW7" i="16"/>
  <c r="AT8" i="16"/>
  <c r="AP12" i="16"/>
  <c r="AO7" i="16"/>
  <c r="AL8" i="16"/>
  <c r="AH12" i="16"/>
  <c r="AG7" i="16"/>
  <c r="AD8" i="16"/>
  <c r="Z12" i="16"/>
  <c r="Y7" i="16"/>
  <c r="V8" i="16"/>
  <c r="R12" i="16"/>
  <c r="Q7" i="16"/>
  <c r="N8" i="16"/>
  <c r="J12" i="16"/>
  <c r="H7" i="16"/>
  <c r="I8" i="16"/>
  <c r="J11" i="16"/>
  <c r="J10" i="16"/>
  <c r="G115" i="18" l="1"/>
  <c r="I115" i="18" s="1"/>
  <c r="G112" i="18"/>
  <c r="F65" i="18"/>
  <c r="F63" i="18"/>
  <c r="E61" i="18"/>
  <c r="E65" i="18"/>
  <c r="F64" i="18"/>
  <c r="G60" i="18"/>
  <c r="E48" i="18"/>
  <c r="J51" i="18"/>
  <c r="F60" i="18"/>
  <c r="H25" i="18"/>
  <c r="E60" i="18"/>
  <c r="D48" i="18"/>
  <c r="E64" i="18"/>
  <c r="J111" i="18"/>
  <c r="L111" i="18" s="1"/>
  <c r="G97" i="18" s="1"/>
  <c r="H97" i="18" s="1"/>
  <c r="I112" i="18"/>
  <c r="H112" i="18"/>
  <c r="I116" i="18"/>
  <c r="J116" i="18" s="1"/>
  <c r="L116" i="18" s="1"/>
  <c r="G102" i="18" s="1"/>
  <c r="H102" i="18" s="1"/>
  <c r="D76" i="18" s="1"/>
  <c r="E76" i="18" s="1"/>
  <c r="F76" i="18" s="1"/>
  <c r="G76" i="18" s="1"/>
  <c r="H76" i="18" s="1"/>
  <c r="I76" i="18" s="1"/>
  <c r="J76" i="18" s="1"/>
  <c r="K76" i="18" s="1"/>
  <c r="L76" i="18" s="1"/>
  <c r="M76" i="18" s="1"/>
  <c r="N76" i="18" s="1"/>
  <c r="O76" i="18" s="1"/>
  <c r="P76" i="18" s="1"/>
  <c r="Q76" i="18" s="1"/>
  <c r="R76" i="18" s="1"/>
  <c r="S76" i="18" s="1"/>
  <c r="T76" i="18" s="1"/>
  <c r="U76" i="18" s="1"/>
  <c r="V76" i="18" s="1"/>
  <c r="W76" i="18" s="1"/>
  <c r="X76" i="18" s="1"/>
  <c r="Y76" i="18" s="1"/>
  <c r="Z76" i="18" s="1"/>
  <c r="AA76" i="18" s="1"/>
  <c r="AB76" i="18" s="1"/>
  <c r="AC76" i="18" s="1"/>
  <c r="AD76" i="18" s="1"/>
  <c r="AE76" i="18" s="1"/>
  <c r="AF76" i="18" s="1"/>
  <c r="AG76" i="18" s="1"/>
  <c r="AH76" i="18" s="1"/>
  <c r="AI76" i="18" s="1"/>
  <c r="AJ76" i="18" s="1"/>
  <c r="AK76" i="18" s="1"/>
  <c r="AL76" i="18" s="1"/>
  <c r="AM76" i="18" s="1"/>
  <c r="AN76" i="18" s="1"/>
  <c r="AO76" i="18" s="1"/>
  <c r="AP76" i="18" s="1"/>
  <c r="AQ76" i="18" s="1"/>
  <c r="AR76" i="18" s="1"/>
  <c r="AS76" i="18" s="1"/>
  <c r="AT76" i="18" s="1"/>
  <c r="AU76" i="18" s="1"/>
  <c r="AV76" i="18" s="1"/>
  <c r="AW76" i="18" s="1"/>
  <c r="AX76" i="18" s="1"/>
  <c r="AY76" i="18" s="1"/>
  <c r="AZ76" i="18" s="1"/>
  <c r="BA76" i="18" s="1"/>
  <c r="BB76" i="18" s="1"/>
  <c r="BC76" i="18" s="1"/>
  <c r="BD76" i="18" s="1"/>
  <c r="BE76" i="18" s="1"/>
  <c r="BF76" i="18" s="1"/>
  <c r="BG76" i="18" s="1"/>
  <c r="BH76" i="18" s="1"/>
  <c r="BI76" i="18" s="1"/>
  <c r="BJ76" i="18" s="1"/>
  <c r="BK76" i="18" s="1"/>
  <c r="BL76" i="18" s="1"/>
  <c r="BM76" i="18" s="1"/>
  <c r="BN76" i="18" s="1"/>
  <c r="BO76" i="18" s="1"/>
  <c r="BP76" i="18" s="1"/>
  <c r="BQ76" i="18" s="1"/>
  <c r="BR76" i="18" s="1"/>
  <c r="BS76" i="18" s="1"/>
  <c r="BT76" i="18" s="1"/>
  <c r="BU76" i="18" s="1"/>
  <c r="BV76" i="18" s="1"/>
  <c r="BW76" i="18" s="1"/>
  <c r="BX76" i="18" s="1"/>
  <c r="BY76" i="18" s="1"/>
  <c r="BZ76" i="18" s="1"/>
  <c r="CA76" i="18" s="1"/>
  <c r="CB76" i="18" s="1"/>
  <c r="CC76" i="18" s="1"/>
  <c r="CD76" i="18" s="1"/>
  <c r="CE76" i="18" s="1"/>
  <c r="CF76" i="18" s="1"/>
  <c r="CG76" i="18" s="1"/>
  <c r="CH76" i="18" s="1"/>
  <c r="CI76" i="18" s="1"/>
  <c r="H115" i="18"/>
  <c r="J115" i="18" s="1"/>
  <c r="L115" i="18" s="1"/>
  <c r="G101" i="18" s="1"/>
  <c r="H101" i="18" s="1"/>
  <c r="D75" i="18" s="1"/>
  <c r="E75" i="18" s="1"/>
  <c r="F75" i="18" s="1"/>
  <c r="G75" i="18" s="1"/>
  <c r="H75" i="18" s="1"/>
  <c r="I75" i="18" s="1"/>
  <c r="J75" i="18" s="1"/>
  <c r="K75" i="18" s="1"/>
  <c r="L75" i="18" s="1"/>
  <c r="M75" i="18" s="1"/>
  <c r="N75" i="18" s="1"/>
  <c r="O75" i="18" s="1"/>
  <c r="P75" i="18" s="1"/>
  <c r="Q75" i="18" s="1"/>
  <c r="R75" i="18" s="1"/>
  <c r="S75" i="18" s="1"/>
  <c r="T75" i="18" s="1"/>
  <c r="U75" i="18" s="1"/>
  <c r="V75" i="18" s="1"/>
  <c r="W75" i="18" s="1"/>
  <c r="X75" i="18" s="1"/>
  <c r="Y75" i="18" s="1"/>
  <c r="Z75" i="18" s="1"/>
  <c r="AA75" i="18" s="1"/>
  <c r="AB75" i="18" s="1"/>
  <c r="AC75" i="18" s="1"/>
  <c r="AD75" i="18" s="1"/>
  <c r="AE75" i="18" s="1"/>
  <c r="AF75" i="18" s="1"/>
  <c r="AG75" i="18" s="1"/>
  <c r="AH75" i="18" s="1"/>
  <c r="AI75" i="18" s="1"/>
  <c r="AJ75" i="18" s="1"/>
  <c r="AK75" i="18" s="1"/>
  <c r="AL75" i="18" s="1"/>
  <c r="AM75" i="18" s="1"/>
  <c r="AN75" i="18" s="1"/>
  <c r="AO75" i="18" s="1"/>
  <c r="AP75" i="18" s="1"/>
  <c r="AQ75" i="18" s="1"/>
  <c r="AR75" i="18" s="1"/>
  <c r="AS75" i="18" s="1"/>
  <c r="AT75" i="18" s="1"/>
  <c r="AU75" i="18" s="1"/>
  <c r="AV75" i="18" s="1"/>
  <c r="AW75" i="18" s="1"/>
  <c r="AX75" i="18" s="1"/>
  <c r="AY75" i="18" s="1"/>
  <c r="AZ75" i="18" s="1"/>
  <c r="BA75" i="18" s="1"/>
  <c r="BB75" i="18" s="1"/>
  <c r="BC75" i="18" s="1"/>
  <c r="BD75" i="18" s="1"/>
  <c r="BE75" i="18" s="1"/>
  <c r="BF75" i="18" s="1"/>
  <c r="BG75" i="18" s="1"/>
  <c r="BH75" i="18" s="1"/>
  <c r="BI75" i="18" s="1"/>
  <c r="BJ75" i="18" s="1"/>
  <c r="BK75" i="18" s="1"/>
  <c r="BL75" i="18" s="1"/>
  <c r="BM75" i="18" s="1"/>
  <c r="BN75" i="18" s="1"/>
  <c r="BO75" i="18" s="1"/>
  <c r="BP75" i="18" s="1"/>
  <c r="BQ75" i="18" s="1"/>
  <c r="BR75" i="18" s="1"/>
  <c r="BS75" i="18" s="1"/>
  <c r="BT75" i="18" s="1"/>
  <c r="BU75" i="18" s="1"/>
  <c r="BV75" i="18" s="1"/>
  <c r="BW75" i="18" s="1"/>
  <c r="BX75" i="18" s="1"/>
  <c r="BY75" i="18" s="1"/>
  <c r="BZ75" i="18" s="1"/>
  <c r="CA75" i="18" s="1"/>
  <c r="CB75" i="18" s="1"/>
  <c r="CC75" i="18" s="1"/>
  <c r="CD75" i="18" s="1"/>
  <c r="CE75" i="18" s="1"/>
  <c r="CF75" i="18" s="1"/>
  <c r="CG75" i="18" s="1"/>
  <c r="CH75" i="18" s="1"/>
  <c r="CI75" i="18" s="1"/>
  <c r="E62" i="18"/>
  <c r="F57" i="18"/>
  <c r="G108" i="18"/>
  <c r="I108" i="18" s="1"/>
  <c r="J108" i="18" s="1"/>
  <c r="L108" i="18" s="1"/>
  <c r="G94" i="18" s="1"/>
  <c r="E51" i="18"/>
  <c r="I51" i="18"/>
  <c r="H51" i="18"/>
  <c r="F51" i="18"/>
  <c r="F48" i="18"/>
  <c r="D51" i="18"/>
  <c r="K21" i="21" s="1"/>
  <c r="G58" i="18"/>
  <c r="H15" i="18"/>
  <c r="H54" i="18" s="1"/>
  <c r="E54" i="18"/>
  <c r="H60" i="18"/>
  <c r="E58" i="18"/>
  <c r="G21" i="16" s="1"/>
  <c r="F62" i="18"/>
  <c r="K51" i="18"/>
  <c r="D58" i="18"/>
  <c r="F21" i="21" s="1"/>
  <c r="F54" i="18"/>
  <c r="F58" i="18"/>
  <c r="J21" i="18"/>
  <c r="J60" i="18" s="1"/>
  <c r="E59" i="18"/>
  <c r="G22" i="16" s="1"/>
  <c r="F59" i="18"/>
  <c r="D59" i="18"/>
  <c r="D7" i="16"/>
  <c r="I22" i="16"/>
  <c r="F47" i="18"/>
  <c r="H26" i="18"/>
  <c r="G65" i="18"/>
  <c r="I20" i="18"/>
  <c r="H59" i="18"/>
  <c r="J19" i="18"/>
  <c r="I58" i="18"/>
  <c r="G62" i="18"/>
  <c r="I25" i="16" s="1"/>
  <c r="H23" i="18"/>
  <c r="J88" i="16"/>
  <c r="J89" i="16" s="1"/>
  <c r="H57" i="18"/>
  <c r="I18" i="18"/>
  <c r="E57" i="18"/>
  <c r="D57" i="18"/>
  <c r="F53" i="18"/>
  <c r="G57" i="18"/>
  <c r="N16" i="16"/>
  <c r="K20" i="11"/>
  <c r="H20" i="11"/>
  <c r="K27" i="11"/>
  <c r="F14" i="19"/>
  <c r="C25" i="2"/>
  <c r="C28" i="11"/>
  <c r="F17" i="19" s="1"/>
  <c r="F13" i="13"/>
  <c r="K25" i="11"/>
  <c r="K21" i="11"/>
  <c r="F16" i="19" s="1"/>
  <c r="K18" i="11"/>
  <c r="H18" i="11"/>
  <c r="H21" i="11" s="1"/>
  <c r="K19" i="11"/>
  <c r="K26" i="11"/>
  <c r="H19" i="11"/>
  <c r="I76" i="16"/>
  <c r="D68" i="16"/>
  <c r="J16" i="16"/>
  <c r="D12" i="16"/>
  <c r="D9" i="16"/>
  <c r="E49" i="18"/>
  <c r="F22" i="19"/>
  <c r="E22" i="19" s="1"/>
  <c r="I9" i="18"/>
  <c r="H48" i="18"/>
  <c r="H16" i="16"/>
  <c r="I16" i="16"/>
  <c r="F13" i="2"/>
  <c r="D83" i="16"/>
  <c r="H24" i="18"/>
  <c r="G63" i="18"/>
  <c r="D146" i="13"/>
  <c r="D8" i="16"/>
  <c r="D80" i="16"/>
  <c r="L51" i="18"/>
  <c r="M12" i="18"/>
  <c r="G16" i="16"/>
  <c r="M16" i="16"/>
  <c r="D63" i="18"/>
  <c r="H100" i="18" s="1"/>
  <c r="E63" i="18"/>
  <c r="G26" i="16" s="1"/>
  <c r="H7" i="18"/>
  <c r="G46" i="18"/>
  <c r="D85" i="16"/>
  <c r="I22" i="2"/>
  <c r="F52" i="18"/>
  <c r="H26" i="16" s="1"/>
  <c r="D84" i="16"/>
  <c r="G64" i="18" l="1"/>
  <c r="F61" i="18"/>
  <c r="G87" i="18"/>
  <c r="I28" i="16" s="1"/>
  <c r="N97" i="18"/>
  <c r="D71" i="18"/>
  <c r="F87" i="18"/>
  <c r="H28" i="16" s="1"/>
  <c r="D87" i="18"/>
  <c r="G40" i="21" s="1"/>
  <c r="E86" i="18"/>
  <c r="G27" i="16" s="1"/>
  <c r="F86" i="18"/>
  <c r="H27" i="16" s="1"/>
  <c r="E87" i="18"/>
  <c r="G28" i="16" s="1"/>
  <c r="D86" i="18"/>
  <c r="F40" i="21" s="1"/>
  <c r="F50" i="18"/>
  <c r="N102" i="18"/>
  <c r="J112" i="18"/>
  <c r="L112" i="18" s="1"/>
  <c r="G98" i="18" s="1"/>
  <c r="H98" i="18" s="1"/>
  <c r="K98" i="18" s="1"/>
  <c r="K97" i="18"/>
  <c r="M97" i="18" s="1"/>
  <c r="G25" i="16"/>
  <c r="H94" i="18"/>
  <c r="E40" i="21"/>
  <c r="K102" i="18"/>
  <c r="M102" i="18" s="1"/>
  <c r="H25" i="16"/>
  <c r="N101" i="18"/>
  <c r="K101" i="18"/>
  <c r="H22" i="16"/>
  <c r="I15" i="18"/>
  <c r="I54" i="18" s="1"/>
  <c r="F25" i="16"/>
  <c r="F21" i="16"/>
  <c r="K21" i="18"/>
  <c r="K60" i="18" s="1"/>
  <c r="H21" i="16"/>
  <c r="F22" i="16"/>
  <c r="G21" i="21"/>
  <c r="G50" i="18"/>
  <c r="H11" i="18"/>
  <c r="G47" i="18"/>
  <c r="I21" i="16" s="1"/>
  <c r="H8" i="18"/>
  <c r="H14" i="18"/>
  <c r="G53" i="18"/>
  <c r="J20" i="18"/>
  <c r="I59" i="18"/>
  <c r="I23" i="18"/>
  <c r="H62" i="18"/>
  <c r="J25" i="16" s="1"/>
  <c r="I57" i="18"/>
  <c r="J18" i="18"/>
  <c r="K88" i="16"/>
  <c r="K89" i="16" s="1"/>
  <c r="J22" i="16"/>
  <c r="K19" i="18"/>
  <c r="J58" i="18"/>
  <c r="I26" i="18"/>
  <c r="H65" i="18"/>
  <c r="P11" i="16"/>
  <c r="AO16" i="16"/>
  <c r="C7" i="26"/>
  <c r="D168" i="28" s="1"/>
  <c r="O11" i="16"/>
  <c r="Q11" i="16"/>
  <c r="O10" i="16"/>
  <c r="R11" i="16"/>
  <c r="R10" i="16"/>
  <c r="Q10" i="16"/>
  <c r="AR16" i="16"/>
  <c r="P10" i="16"/>
  <c r="L25" i="2"/>
  <c r="D25" i="2"/>
  <c r="E12" i="26"/>
  <c r="C27" i="2"/>
  <c r="H26" i="11"/>
  <c r="D7" i="26"/>
  <c r="E8" i="26"/>
  <c r="E9" i="26"/>
  <c r="G9" i="26" s="1"/>
  <c r="J9" i="26" s="1"/>
  <c r="C26" i="2"/>
  <c r="E11" i="26"/>
  <c r="H25" i="11"/>
  <c r="J76" i="16"/>
  <c r="K76" i="16" s="1"/>
  <c r="K28" i="11"/>
  <c r="F18" i="19" s="1"/>
  <c r="E13" i="26"/>
  <c r="H27" i="11"/>
  <c r="C28" i="2"/>
  <c r="C76" i="16"/>
  <c r="D154" i="13"/>
  <c r="H63" i="18"/>
  <c r="I24" i="18"/>
  <c r="I48" i="18"/>
  <c r="J9" i="18"/>
  <c r="G13" i="2"/>
  <c r="I7" i="18"/>
  <c r="H46" i="18"/>
  <c r="H22" i="18"/>
  <c r="G61" i="18"/>
  <c r="H13" i="18"/>
  <c r="G52" i="18"/>
  <c r="I26" i="16" s="1"/>
  <c r="M51" i="18"/>
  <c r="N12" i="18"/>
  <c r="J22" i="2"/>
  <c r="F49" i="18"/>
  <c r="I25" i="18"/>
  <c r="H64" i="18"/>
  <c r="G20" i="26" l="1"/>
  <c r="J20" i="26" s="1"/>
  <c r="L31" i="26"/>
  <c r="G8" i="26"/>
  <c r="J8" i="26" s="1"/>
  <c r="D160" i="28" s="1"/>
  <c r="F27" i="16"/>
  <c r="H87" i="18"/>
  <c r="J28" i="16" s="1"/>
  <c r="D72" i="18"/>
  <c r="N94" i="18"/>
  <c r="D68" i="18"/>
  <c r="E71" i="18"/>
  <c r="D82" i="18"/>
  <c r="F23" i="16" s="1"/>
  <c r="G86" i="18"/>
  <c r="I27" i="16" s="1"/>
  <c r="J15" i="18"/>
  <c r="K15" i="18" s="1"/>
  <c r="L97" i="18"/>
  <c r="N98" i="18"/>
  <c r="F28" i="16"/>
  <c r="L102" i="18"/>
  <c r="F26" i="16"/>
  <c r="K94" i="18"/>
  <c r="M94" i="18" s="1"/>
  <c r="M101" i="18"/>
  <c r="L101" i="18"/>
  <c r="L98" i="18"/>
  <c r="M98" i="18"/>
  <c r="L21" i="18"/>
  <c r="D10" i="16"/>
  <c r="I11" i="18"/>
  <c r="H50" i="18"/>
  <c r="D11" i="16"/>
  <c r="C9" i="26" s="1"/>
  <c r="F168" i="28" s="1"/>
  <c r="BB16" i="16"/>
  <c r="S16" i="16"/>
  <c r="AS16" i="16"/>
  <c r="AJ16" i="16"/>
  <c r="AY16" i="16"/>
  <c r="AE16" i="16"/>
  <c r="BC16" i="16"/>
  <c r="BA16" i="16"/>
  <c r="K22" i="16"/>
  <c r="I8" i="18"/>
  <c r="H47" i="18"/>
  <c r="J21" i="16" s="1"/>
  <c r="L76" i="16"/>
  <c r="I62" i="18"/>
  <c r="K25" i="16" s="1"/>
  <c r="J23" i="18"/>
  <c r="L88" i="16"/>
  <c r="L89" i="16" s="1"/>
  <c r="I65" i="18"/>
  <c r="I87" i="18" s="1"/>
  <c r="J26" i="18"/>
  <c r="J57" i="18"/>
  <c r="K18" i="18"/>
  <c r="L19" i="18"/>
  <c r="K58" i="18"/>
  <c r="J59" i="18"/>
  <c r="K20" i="18"/>
  <c r="I14" i="18"/>
  <c r="H53" i="18"/>
  <c r="Q16" i="16"/>
  <c r="AT16" i="16"/>
  <c r="AW16" i="16"/>
  <c r="AU16" i="16"/>
  <c r="AQ16" i="16"/>
  <c r="AD16" i="16"/>
  <c r="X16" i="16"/>
  <c r="AC16" i="16"/>
  <c r="AA16" i="16"/>
  <c r="AB16" i="16"/>
  <c r="V16" i="16"/>
  <c r="AK16" i="16"/>
  <c r="AM16" i="16"/>
  <c r="AZ16" i="16"/>
  <c r="AX16" i="16"/>
  <c r="Z16" i="16"/>
  <c r="AL16" i="16"/>
  <c r="U16" i="16"/>
  <c r="R16" i="16"/>
  <c r="AP16" i="16"/>
  <c r="AH16" i="16"/>
  <c r="AV16" i="16"/>
  <c r="Y16" i="16"/>
  <c r="AI16" i="16"/>
  <c r="AF16" i="16"/>
  <c r="AN16" i="16"/>
  <c r="T16" i="16"/>
  <c r="W16" i="16"/>
  <c r="AG16" i="16"/>
  <c r="E7" i="26"/>
  <c r="D10" i="26"/>
  <c r="E20" i="26"/>
  <c r="G11" i="26"/>
  <c r="J11" i="26" s="1"/>
  <c r="D27" i="2"/>
  <c r="L27" i="2"/>
  <c r="G12" i="26"/>
  <c r="O20" i="26"/>
  <c r="D28" i="2"/>
  <c r="L28" i="2"/>
  <c r="D26" i="2"/>
  <c r="L26" i="2"/>
  <c r="G13" i="26"/>
  <c r="P20" i="26"/>
  <c r="P22" i="26" s="1"/>
  <c r="E6" i="13"/>
  <c r="E21" i="19" s="1"/>
  <c r="F21" i="19"/>
  <c r="I63" i="18"/>
  <c r="J24" i="18"/>
  <c r="H13" i="2"/>
  <c r="K22" i="2"/>
  <c r="J48" i="18"/>
  <c r="K9" i="18"/>
  <c r="O12" i="18"/>
  <c r="N51" i="18"/>
  <c r="I13" i="18"/>
  <c r="H52" i="18"/>
  <c r="J26" i="16" s="1"/>
  <c r="I64" i="18"/>
  <c r="J25" i="18"/>
  <c r="H10" i="18"/>
  <c r="G49" i="18"/>
  <c r="H61" i="18"/>
  <c r="I22" i="18"/>
  <c r="J7" i="18"/>
  <c r="I46" i="18"/>
  <c r="O22" i="26" l="1"/>
  <c r="N31" i="26"/>
  <c r="P13" i="26"/>
  <c r="J13" i="26"/>
  <c r="O12" i="26"/>
  <c r="J12" i="26"/>
  <c r="J54" i="18"/>
  <c r="I21" i="21"/>
  <c r="E68" i="18"/>
  <c r="D79" i="18"/>
  <c r="F71" i="18"/>
  <c r="E82" i="18"/>
  <c r="G23" i="16" s="1"/>
  <c r="H86" i="18"/>
  <c r="J27" i="16" s="1"/>
  <c r="K28" i="16"/>
  <c r="E72" i="18"/>
  <c r="D83" i="18"/>
  <c r="L94" i="18"/>
  <c r="L60" i="18"/>
  <c r="M21" i="18"/>
  <c r="J11" i="18"/>
  <c r="I50" i="18"/>
  <c r="I47" i="18"/>
  <c r="K21" i="16" s="1"/>
  <c r="J8" i="18"/>
  <c r="M76" i="16"/>
  <c r="K26" i="18"/>
  <c r="J65" i="18"/>
  <c r="M88" i="16"/>
  <c r="M89" i="16" s="1"/>
  <c r="L22" i="16"/>
  <c r="M19" i="18"/>
  <c r="L58" i="18"/>
  <c r="J62" i="18"/>
  <c r="L25" i="16" s="1"/>
  <c r="K23" i="18"/>
  <c r="L20" i="18"/>
  <c r="K59" i="18"/>
  <c r="L18" i="18"/>
  <c r="K57" i="18"/>
  <c r="I53" i="18"/>
  <c r="J14" i="18"/>
  <c r="N9" i="26"/>
  <c r="N19" i="26"/>
  <c r="E10" i="26"/>
  <c r="L19" i="26"/>
  <c r="G7" i="26"/>
  <c r="J7" i="26" s="1"/>
  <c r="O21" i="26"/>
  <c r="F20" i="26"/>
  <c r="P21" i="26"/>
  <c r="P12" i="18"/>
  <c r="O51" i="18"/>
  <c r="L15" i="18"/>
  <c r="K54" i="18"/>
  <c r="E5" i="13"/>
  <c r="E7" i="13"/>
  <c r="J64" i="18"/>
  <c r="K25" i="18"/>
  <c r="L22" i="2"/>
  <c r="I10" i="18"/>
  <c r="H49" i="18"/>
  <c r="K7" i="18"/>
  <c r="J46" i="18"/>
  <c r="K48" i="18"/>
  <c r="L9" i="18"/>
  <c r="J63" i="18"/>
  <c r="K24" i="18"/>
  <c r="J22" i="18"/>
  <c r="I61" i="18"/>
  <c r="I52" i="18"/>
  <c r="K26" i="16" s="1"/>
  <c r="J13" i="18"/>
  <c r="I13" i="2"/>
  <c r="D158" i="28" l="1"/>
  <c r="P24" i="26"/>
  <c r="P23" i="26"/>
  <c r="L22" i="26"/>
  <c r="N21" i="26"/>
  <c r="N22" i="26"/>
  <c r="O24" i="26"/>
  <c r="O23" i="26"/>
  <c r="J87" i="18"/>
  <c r="L28" i="16" s="1"/>
  <c r="G24" i="26"/>
  <c r="J24" i="26" s="1"/>
  <c r="G23" i="26"/>
  <c r="J23" i="26" s="1"/>
  <c r="L21" i="26"/>
  <c r="J21" i="21"/>
  <c r="F24" i="16"/>
  <c r="F72" i="18"/>
  <c r="E83" i="18"/>
  <c r="G24" i="16" s="1"/>
  <c r="G71" i="18"/>
  <c r="F82" i="18"/>
  <c r="H23" i="16" s="1"/>
  <c r="I86" i="18"/>
  <c r="K27" i="16" s="1"/>
  <c r="E21" i="21"/>
  <c r="F20" i="16"/>
  <c r="F68" i="18"/>
  <c r="E79" i="18"/>
  <c r="G20" i="16" s="1"/>
  <c r="M60" i="18"/>
  <c r="N21" i="18"/>
  <c r="J50" i="18"/>
  <c r="K11" i="18"/>
  <c r="M22" i="16"/>
  <c r="J47" i="18"/>
  <c r="L21" i="16" s="1"/>
  <c r="K8" i="18"/>
  <c r="N76" i="16"/>
  <c r="N88" i="16"/>
  <c r="N89" i="16" s="1"/>
  <c r="M20" i="18"/>
  <c r="L59" i="18"/>
  <c r="L23" i="18"/>
  <c r="K62" i="18"/>
  <c r="M25" i="16" s="1"/>
  <c r="K14" i="18"/>
  <c r="J53" i="18"/>
  <c r="K65" i="18"/>
  <c r="L26" i="18"/>
  <c r="M18" i="18"/>
  <c r="L57" i="18"/>
  <c r="M58" i="18"/>
  <c r="N19" i="18"/>
  <c r="N24" i="26"/>
  <c r="N23" i="26"/>
  <c r="E19" i="26"/>
  <c r="E16" i="26"/>
  <c r="G10" i="26"/>
  <c r="L7" i="26"/>
  <c r="L24" i="26" s="1"/>
  <c r="I49" i="18"/>
  <c r="J10" i="18"/>
  <c r="K63" i="18"/>
  <c r="L24" i="18"/>
  <c r="L48" i="18"/>
  <c r="M9" i="18"/>
  <c r="M22" i="2"/>
  <c r="L54" i="18"/>
  <c r="M15" i="18"/>
  <c r="J13" i="2"/>
  <c r="J61" i="18"/>
  <c r="K22" i="18"/>
  <c r="L25" i="18"/>
  <c r="K64" i="18"/>
  <c r="K46" i="18"/>
  <c r="L7" i="18"/>
  <c r="P51" i="18"/>
  <c r="Q12" i="18"/>
  <c r="J52" i="18"/>
  <c r="L26" i="16" s="1"/>
  <c r="K13" i="18"/>
  <c r="P27" i="26" l="1"/>
  <c r="P29" i="26" s="1"/>
  <c r="P32" i="26" s="1"/>
  <c r="O27" i="26"/>
  <c r="O29" i="26" s="1"/>
  <c r="O32" i="26" s="1"/>
  <c r="D161" i="28"/>
  <c r="G16" i="26"/>
  <c r="J16" i="26" s="1"/>
  <c r="J10" i="26"/>
  <c r="G19" i="26"/>
  <c r="F29" i="16"/>
  <c r="F33" i="16" s="1"/>
  <c r="N27" i="26"/>
  <c r="N29" i="26" s="1"/>
  <c r="N32" i="26" s="1"/>
  <c r="G72" i="18"/>
  <c r="F83" i="18"/>
  <c r="H24" i="16" s="1"/>
  <c r="G29" i="16"/>
  <c r="K87" i="18"/>
  <c r="M28" i="16" s="1"/>
  <c r="J86" i="18"/>
  <c r="L27" i="16" s="1"/>
  <c r="G68" i="18"/>
  <c r="F79" i="18"/>
  <c r="H20" i="16" s="1"/>
  <c r="H71" i="18"/>
  <c r="G82" i="18"/>
  <c r="I23" i="16" s="1"/>
  <c r="N22" i="16"/>
  <c r="N60" i="18"/>
  <c r="O21" i="18"/>
  <c r="L11" i="18"/>
  <c r="K50" i="18"/>
  <c r="K47" i="18"/>
  <c r="M21" i="16" s="1"/>
  <c r="L8" i="18"/>
  <c r="O76" i="16"/>
  <c r="K53" i="18"/>
  <c r="L14" i="18"/>
  <c r="L65" i="18"/>
  <c r="M26" i="18"/>
  <c r="O19" i="18"/>
  <c r="N58" i="18"/>
  <c r="O88" i="16"/>
  <c r="L62" i="18"/>
  <c r="N25" i="16" s="1"/>
  <c r="M23" i="18"/>
  <c r="N18" i="18"/>
  <c r="M57" i="18"/>
  <c r="M59" i="18"/>
  <c r="N20" i="18"/>
  <c r="L23" i="26"/>
  <c r="K13" i="2"/>
  <c r="L63" i="18"/>
  <c r="M24" i="18"/>
  <c r="M54" i="18"/>
  <c r="N15" i="18"/>
  <c r="J49" i="18"/>
  <c r="K10" i="18"/>
  <c r="L46" i="18"/>
  <c r="M7" i="18"/>
  <c r="M25" i="18"/>
  <c r="L64" i="18"/>
  <c r="N22" i="2"/>
  <c r="Q51" i="18"/>
  <c r="R12" i="18"/>
  <c r="N9" i="18"/>
  <c r="M48" i="18"/>
  <c r="L13" i="18"/>
  <c r="K52" i="18"/>
  <c r="M26" i="16" s="1"/>
  <c r="L22" i="18"/>
  <c r="K61" i="18"/>
  <c r="F32" i="16" l="1"/>
  <c r="L27" i="26"/>
  <c r="G22" i="26"/>
  <c r="F34" i="16"/>
  <c r="F35" i="16" s="1"/>
  <c r="F37" i="16" s="1"/>
  <c r="F94" i="16" s="1"/>
  <c r="G21" i="26"/>
  <c r="J19" i="26"/>
  <c r="D157" i="28" s="1"/>
  <c r="H29" i="16"/>
  <c r="H33" i="16" s="1"/>
  <c r="H68" i="18"/>
  <c r="G79" i="18"/>
  <c r="I20" i="16" s="1"/>
  <c r="H72" i="18"/>
  <c r="G83" i="18"/>
  <c r="I24" i="16" s="1"/>
  <c r="K86" i="18"/>
  <c r="M27" i="16" s="1"/>
  <c r="I71" i="18"/>
  <c r="H82" i="18"/>
  <c r="J23" i="16" s="1"/>
  <c r="G32" i="16"/>
  <c r="G33" i="16"/>
  <c r="G34" i="16"/>
  <c r="L87" i="18"/>
  <c r="N28" i="16" s="1"/>
  <c r="P21" i="18"/>
  <c r="O60" i="18"/>
  <c r="O22" i="16"/>
  <c r="L50" i="18"/>
  <c r="M11" i="18"/>
  <c r="L47" i="18"/>
  <c r="N21" i="16" s="1"/>
  <c r="M8" i="18"/>
  <c r="P76" i="16"/>
  <c r="P19" i="18"/>
  <c r="O58" i="18"/>
  <c r="N23" i="18"/>
  <c r="M62" i="18"/>
  <c r="O25" i="16" s="1"/>
  <c r="M65" i="18"/>
  <c r="M87" i="18" s="1"/>
  <c r="N26" i="18"/>
  <c r="N59" i="18"/>
  <c r="O20" i="18"/>
  <c r="L53" i="18"/>
  <c r="M14" i="18"/>
  <c r="O18" i="18"/>
  <c r="N57" i="18"/>
  <c r="P88" i="16"/>
  <c r="L29" i="26"/>
  <c r="E172" i="28" s="1"/>
  <c r="L13" i="2"/>
  <c r="M63" i="18"/>
  <c r="N24" i="18"/>
  <c r="N25" i="18"/>
  <c r="M64" i="18"/>
  <c r="O22" i="2"/>
  <c r="M22" i="18"/>
  <c r="L61" i="18"/>
  <c r="M46" i="18"/>
  <c r="N7" i="18"/>
  <c r="M13" i="18"/>
  <c r="L52" i="18"/>
  <c r="N26" i="16" s="1"/>
  <c r="N48" i="18"/>
  <c r="O9" i="18"/>
  <c r="S12" i="18"/>
  <c r="R51" i="18"/>
  <c r="L10" i="18"/>
  <c r="K49" i="18"/>
  <c r="N54" i="18"/>
  <c r="O15" i="18"/>
  <c r="J21" i="26" l="1"/>
  <c r="J22" i="26"/>
  <c r="H34" i="16"/>
  <c r="L32" i="26"/>
  <c r="H32" i="16"/>
  <c r="H35" i="16"/>
  <c r="H37" i="16" s="1"/>
  <c r="H94" i="16" s="1"/>
  <c r="I29" i="16"/>
  <c r="I32" i="16" s="1"/>
  <c r="J71" i="18"/>
  <c r="I82" i="18"/>
  <c r="K23" i="16" s="1"/>
  <c r="L86" i="18"/>
  <c r="N27" i="16" s="1"/>
  <c r="I72" i="18"/>
  <c r="H83" i="18"/>
  <c r="J24" i="16" s="1"/>
  <c r="G35" i="16"/>
  <c r="G37" i="16" s="1"/>
  <c r="G94" i="16" s="1"/>
  <c r="I68" i="18"/>
  <c r="H79" i="18"/>
  <c r="J20" i="16" s="1"/>
  <c r="P22" i="16"/>
  <c r="P60" i="18"/>
  <c r="Q21" i="18"/>
  <c r="M50" i="18"/>
  <c r="N11" i="18"/>
  <c r="M47" i="18"/>
  <c r="O21" i="16" s="1"/>
  <c r="N8" i="18"/>
  <c r="Q76" i="16"/>
  <c r="P18" i="18"/>
  <c r="O57" i="18"/>
  <c r="M53" i="18"/>
  <c r="M86" i="18" s="1"/>
  <c r="N14" i="18"/>
  <c r="N62" i="18"/>
  <c r="P25" i="16" s="1"/>
  <c r="O23" i="18"/>
  <c r="P20" i="18"/>
  <c r="O59" i="18"/>
  <c r="Q88" i="16"/>
  <c r="O26" i="18"/>
  <c r="N65" i="18"/>
  <c r="P58" i="18"/>
  <c r="Q19" i="18"/>
  <c r="T12" i="18"/>
  <c r="S51" i="18"/>
  <c r="M61" i="18"/>
  <c r="N22" i="18"/>
  <c r="M10" i="18"/>
  <c r="L49" i="18"/>
  <c r="O48" i="18"/>
  <c r="P9" i="18"/>
  <c r="O25" i="18"/>
  <c r="N64" i="18"/>
  <c r="O24" i="18"/>
  <c r="N63" i="18"/>
  <c r="O54" i="18"/>
  <c r="P15" i="18"/>
  <c r="N46" i="18"/>
  <c r="O7" i="18"/>
  <c r="M52" i="18"/>
  <c r="O26" i="16" s="1"/>
  <c r="N13" i="18"/>
  <c r="P22" i="2"/>
  <c r="M13" i="2"/>
  <c r="I33" i="16" l="1"/>
  <c r="I34" i="16"/>
  <c r="J72" i="18"/>
  <c r="I83" i="18"/>
  <c r="K24" i="16" s="1"/>
  <c r="K71" i="18"/>
  <c r="J82" i="18"/>
  <c r="L23" i="16" s="1"/>
  <c r="J29" i="16"/>
  <c r="J68" i="18"/>
  <c r="I79" i="18"/>
  <c r="K20" i="16" s="1"/>
  <c r="N87" i="18"/>
  <c r="P28" i="16" s="1"/>
  <c r="Q60" i="18"/>
  <c r="R21" i="18"/>
  <c r="O11" i="18"/>
  <c r="N50" i="18"/>
  <c r="Q22" i="16"/>
  <c r="N47" i="18"/>
  <c r="P21" i="16" s="1"/>
  <c r="O8" i="18"/>
  <c r="R76" i="16"/>
  <c r="R88" i="16"/>
  <c r="O14" i="18"/>
  <c r="N53" i="18"/>
  <c r="O65" i="18"/>
  <c r="P26" i="18"/>
  <c r="P23" i="18"/>
  <c r="O62" i="18"/>
  <c r="Q25" i="16" s="1"/>
  <c r="R19" i="18"/>
  <c r="Q58" i="18"/>
  <c r="Q20" i="18"/>
  <c r="P59" i="18"/>
  <c r="P57" i="18"/>
  <c r="Q18" i="18"/>
  <c r="P48" i="18"/>
  <c r="Q9" i="18"/>
  <c r="P24" i="18"/>
  <c r="O63" i="18"/>
  <c r="N10" i="18"/>
  <c r="M49" i="18"/>
  <c r="O13" i="18"/>
  <c r="N52" i="18"/>
  <c r="P26" i="16" s="1"/>
  <c r="P54" i="18"/>
  <c r="Q15" i="18"/>
  <c r="T51" i="18"/>
  <c r="U12" i="18"/>
  <c r="Q22" i="2"/>
  <c r="O64" i="18"/>
  <c r="P25" i="18"/>
  <c r="N13" i="2"/>
  <c r="O46" i="18"/>
  <c r="P7" i="18"/>
  <c r="O22" i="18"/>
  <c r="N61" i="18"/>
  <c r="I35" i="16" l="1"/>
  <c r="I37" i="16" s="1"/>
  <c r="I94" i="16" s="1"/>
  <c r="R94" i="13"/>
  <c r="K29" i="16"/>
  <c r="K32" i="16" s="1"/>
  <c r="J34" i="16"/>
  <c r="J32" i="16"/>
  <c r="J33" i="16"/>
  <c r="L71" i="18"/>
  <c r="K82" i="18"/>
  <c r="M23" i="16" s="1"/>
  <c r="N86" i="18"/>
  <c r="P27" i="16" s="1"/>
  <c r="K68" i="18"/>
  <c r="J79" i="18"/>
  <c r="L20" i="16" s="1"/>
  <c r="O87" i="18"/>
  <c r="Q28" i="16" s="1"/>
  <c r="K72" i="18"/>
  <c r="J83" i="18"/>
  <c r="L24" i="16" s="1"/>
  <c r="R60" i="18"/>
  <c r="S21" i="18"/>
  <c r="R22" i="16"/>
  <c r="P11" i="18"/>
  <c r="O50" i="18"/>
  <c r="P8" i="18"/>
  <c r="O47" i="18"/>
  <c r="Q21" i="16" s="1"/>
  <c r="S76" i="16"/>
  <c r="P62" i="18"/>
  <c r="R25" i="16" s="1"/>
  <c r="Q23" i="18"/>
  <c r="P65" i="18"/>
  <c r="P87" i="18" s="1"/>
  <c r="Q26" i="18"/>
  <c r="R20" i="18"/>
  <c r="Q59" i="18"/>
  <c r="P14" i="18"/>
  <c r="O53" i="18"/>
  <c r="S19" i="18"/>
  <c r="R58" i="18"/>
  <c r="S88" i="16"/>
  <c r="R18" i="18"/>
  <c r="Q57" i="18"/>
  <c r="R15" i="18"/>
  <c r="Q54" i="18"/>
  <c r="P63" i="18"/>
  <c r="Q24" i="18"/>
  <c r="R9" i="18"/>
  <c r="Q48" i="18"/>
  <c r="O13" i="2"/>
  <c r="U51" i="18"/>
  <c r="V12" i="18"/>
  <c r="O52" i="18"/>
  <c r="Q26" i="16" s="1"/>
  <c r="P13" i="18"/>
  <c r="P46" i="18"/>
  <c r="Q7" i="18"/>
  <c r="Q25" i="18"/>
  <c r="P64" i="18"/>
  <c r="R22" i="2"/>
  <c r="O10" i="18"/>
  <c r="N49" i="18"/>
  <c r="O61" i="18"/>
  <c r="P22" i="18"/>
  <c r="L29" i="16" l="1"/>
  <c r="L34" i="16" s="1"/>
  <c r="K34" i="16"/>
  <c r="K33" i="16"/>
  <c r="S94" i="13"/>
  <c r="K35" i="16"/>
  <c r="K37" i="16" s="1"/>
  <c r="K94" i="16" s="1"/>
  <c r="L68" i="18"/>
  <c r="K79" i="18"/>
  <c r="M20" i="16" s="1"/>
  <c r="R28" i="16"/>
  <c r="O86" i="18"/>
  <c r="Q27" i="16" s="1"/>
  <c r="J35" i="16"/>
  <c r="J37" i="16" s="1"/>
  <c r="J94" i="16" s="1"/>
  <c r="M71" i="18"/>
  <c r="L82" i="18"/>
  <c r="N23" i="16" s="1"/>
  <c r="L72" i="18"/>
  <c r="K83" i="18"/>
  <c r="M24" i="16" s="1"/>
  <c r="L32" i="16"/>
  <c r="L33" i="16"/>
  <c r="T21" i="18"/>
  <c r="S60" i="18"/>
  <c r="P50" i="18"/>
  <c r="Q11" i="18"/>
  <c r="S22" i="16"/>
  <c r="Q8" i="18"/>
  <c r="P47" i="18"/>
  <c r="R21" i="16" s="1"/>
  <c r="T76" i="16"/>
  <c r="S18" i="18"/>
  <c r="R57" i="18"/>
  <c r="Q14" i="18"/>
  <c r="P53" i="18"/>
  <c r="T88" i="16"/>
  <c r="R59" i="18"/>
  <c r="S20" i="18"/>
  <c r="Q65" i="18"/>
  <c r="Q87" i="18" s="1"/>
  <c r="R26" i="18"/>
  <c r="T19" i="18"/>
  <c r="S58" i="18"/>
  <c r="R23" i="18"/>
  <c r="Q62" i="18"/>
  <c r="S25" i="16" s="1"/>
  <c r="Q13" i="18"/>
  <c r="P52" i="18"/>
  <c r="R26" i="16" s="1"/>
  <c r="V51" i="18"/>
  <c r="W12" i="18"/>
  <c r="S22" i="2"/>
  <c r="S9" i="18"/>
  <c r="R48" i="18"/>
  <c r="R24" i="18"/>
  <c r="Q63" i="18"/>
  <c r="R25" i="18"/>
  <c r="Q64" i="18"/>
  <c r="R7" i="18"/>
  <c r="Q46" i="18"/>
  <c r="O49" i="18"/>
  <c r="P10" i="18"/>
  <c r="P61" i="18"/>
  <c r="Q22" i="18"/>
  <c r="P13" i="2"/>
  <c r="R54" i="18"/>
  <c r="S15" i="18"/>
  <c r="T94" i="13" l="1"/>
  <c r="M29" i="16"/>
  <c r="M34" i="16" s="1"/>
  <c r="N71" i="18"/>
  <c r="M82" i="18"/>
  <c r="P86" i="18"/>
  <c r="R27" i="16" s="1"/>
  <c r="L35" i="16"/>
  <c r="L37" i="16" s="1"/>
  <c r="L94" i="16" s="1"/>
  <c r="S28" i="16"/>
  <c r="M68" i="18"/>
  <c r="L79" i="18"/>
  <c r="N20" i="16" s="1"/>
  <c r="M72" i="18"/>
  <c r="L83" i="18"/>
  <c r="N24" i="16" s="1"/>
  <c r="T22" i="16"/>
  <c r="T60" i="18"/>
  <c r="U21" i="18"/>
  <c r="Q50" i="18"/>
  <c r="R11" i="18"/>
  <c r="R8" i="18"/>
  <c r="Q47" i="18"/>
  <c r="S21" i="16" s="1"/>
  <c r="U76" i="16"/>
  <c r="S23" i="18"/>
  <c r="R62" i="18"/>
  <c r="T25" i="16" s="1"/>
  <c r="T20" i="18"/>
  <c r="S59" i="18"/>
  <c r="U19" i="18"/>
  <c r="T58" i="18"/>
  <c r="S26" i="18"/>
  <c r="R65" i="18"/>
  <c r="R87" i="18" s="1"/>
  <c r="U88" i="16"/>
  <c r="Q53" i="18"/>
  <c r="R14" i="18"/>
  <c r="T18" i="18"/>
  <c r="S57" i="18"/>
  <c r="S25" i="18"/>
  <c r="R64" i="18"/>
  <c r="X12" i="18"/>
  <c r="W51" i="18"/>
  <c r="P49" i="18"/>
  <c r="Q10" i="18"/>
  <c r="S24" i="18"/>
  <c r="R63" i="18"/>
  <c r="S48" i="18"/>
  <c r="T9" i="18"/>
  <c r="T15" i="18"/>
  <c r="S54" i="18"/>
  <c r="R46" i="18"/>
  <c r="S7" i="18"/>
  <c r="Q13" i="2"/>
  <c r="R22" i="18"/>
  <c r="Q61" i="18"/>
  <c r="T22" i="2"/>
  <c r="Q52" i="18"/>
  <c r="S26" i="16" s="1"/>
  <c r="R13" i="18"/>
  <c r="U94" i="13" l="1"/>
  <c r="N29" i="16"/>
  <c r="N32" i="16" s="1"/>
  <c r="M33" i="16"/>
  <c r="M32" i="16"/>
  <c r="N72" i="18"/>
  <c r="M83" i="18"/>
  <c r="O24" i="16" s="1"/>
  <c r="Q86" i="18"/>
  <c r="S27" i="16" s="1"/>
  <c r="T28" i="16"/>
  <c r="N68" i="18"/>
  <c r="M79" i="18"/>
  <c r="O20" i="16" s="1"/>
  <c r="O71" i="18"/>
  <c r="N82" i="18"/>
  <c r="P23" i="16" s="1"/>
  <c r="U60" i="18"/>
  <c r="V21" i="18"/>
  <c r="R50" i="18"/>
  <c r="S11" i="18"/>
  <c r="U22" i="16"/>
  <c r="R47" i="18"/>
  <c r="T21" i="16" s="1"/>
  <c r="S8" i="18"/>
  <c r="V76" i="16"/>
  <c r="S65" i="18"/>
  <c r="T26" i="18"/>
  <c r="S14" i="18"/>
  <c r="R53" i="18"/>
  <c r="U58" i="18"/>
  <c r="V19" i="18"/>
  <c r="U20" i="18"/>
  <c r="T59" i="18"/>
  <c r="V88" i="16"/>
  <c r="U18" i="18"/>
  <c r="T57" i="18"/>
  <c r="S62" i="18"/>
  <c r="U25" i="16" s="1"/>
  <c r="T23" i="18"/>
  <c r="U22" i="2"/>
  <c r="T54" i="18"/>
  <c r="U15" i="18"/>
  <c r="R10" i="18"/>
  <c r="Q49" i="18"/>
  <c r="X51" i="18"/>
  <c r="Y12" i="18"/>
  <c r="S63" i="18"/>
  <c r="T24" i="18"/>
  <c r="S46" i="18"/>
  <c r="T7" i="18"/>
  <c r="R13" i="2"/>
  <c r="T48" i="18"/>
  <c r="U9" i="18"/>
  <c r="T25" i="18"/>
  <c r="S64" i="18"/>
  <c r="R52" i="18"/>
  <c r="T26" i="16" s="1"/>
  <c r="S13" i="18"/>
  <c r="R61" i="18"/>
  <c r="S22" i="18"/>
  <c r="N34" i="16" l="1"/>
  <c r="M35" i="16"/>
  <c r="M37" i="16" s="1"/>
  <c r="M94" i="16" s="1"/>
  <c r="N33" i="16"/>
  <c r="V94" i="13"/>
  <c r="N35" i="16"/>
  <c r="N37" i="16" s="1"/>
  <c r="N94" i="16" s="1"/>
  <c r="S87" i="18"/>
  <c r="U28" i="16" s="1"/>
  <c r="R86" i="18"/>
  <c r="T27" i="16" s="1"/>
  <c r="P71" i="18"/>
  <c r="O82" i="18"/>
  <c r="Q23" i="16" s="1"/>
  <c r="O72" i="18"/>
  <c r="N83" i="18"/>
  <c r="P24" i="16" s="1"/>
  <c r="O68" i="18"/>
  <c r="N79" i="18"/>
  <c r="P20" i="16" s="1"/>
  <c r="W21" i="18"/>
  <c r="V60" i="18"/>
  <c r="S50" i="18"/>
  <c r="T11" i="18"/>
  <c r="V22" i="16"/>
  <c r="S47" i="18"/>
  <c r="U21" i="16" s="1"/>
  <c r="T8" i="18"/>
  <c r="W76" i="16"/>
  <c r="W19" i="18"/>
  <c r="V58" i="18"/>
  <c r="U57" i="18"/>
  <c r="V18" i="18"/>
  <c r="W88" i="16"/>
  <c r="S53" i="18"/>
  <c r="T14" i="18"/>
  <c r="T62" i="18"/>
  <c r="V25" i="16" s="1"/>
  <c r="U23" i="18"/>
  <c r="V20" i="18"/>
  <c r="U59" i="18"/>
  <c r="U26" i="18"/>
  <c r="T65" i="18"/>
  <c r="U7" i="18"/>
  <c r="T46" i="18"/>
  <c r="U24" i="18"/>
  <c r="T63" i="18"/>
  <c r="R49" i="18"/>
  <c r="S10" i="18"/>
  <c r="V22" i="2"/>
  <c r="T64" i="18"/>
  <c r="U25" i="18"/>
  <c r="U54" i="18"/>
  <c r="V15" i="18"/>
  <c r="Y51" i="18"/>
  <c r="Z12" i="18"/>
  <c r="T22" i="18"/>
  <c r="S61" i="18"/>
  <c r="S52" i="18"/>
  <c r="U26" i="16" s="1"/>
  <c r="T13" i="18"/>
  <c r="U48" i="18"/>
  <c r="V9" i="18"/>
  <c r="S13" i="2"/>
  <c r="W94" i="13" l="1"/>
  <c r="S86" i="18"/>
  <c r="U27" i="16" s="1"/>
  <c r="T87" i="18"/>
  <c r="V28" i="16" s="1"/>
  <c r="Q71" i="18"/>
  <c r="P82" i="18"/>
  <c r="R23" i="16" s="1"/>
  <c r="P68" i="18"/>
  <c r="O79" i="18"/>
  <c r="Q20" i="16" s="1"/>
  <c r="P72" i="18"/>
  <c r="O83" i="18"/>
  <c r="Q24" i="16" s="1"/>
  <c r="X21" i="18"/>
  <c r="W60" i="18"/>
  <c r="U11" i="18"/>
  <c r="T50" i="18"/>
  <c r="T47" i="18"/>
  <c r="V21" i="16" s="1"/>
  <c r="U8" i="18"/>
  <c r="X76" i="16"/>
  <c r="V59" i="18"/>
  <c r="W20" i="18"/>
  <c r="V57" i="18"/>
  <c r="W18" i="18"/>
  <c r="U62" i="18"/>
  <c r="W25" i="16" s="1"/>
  <c r="V23" i="18"/>
  <c r="X88" i="16"/>
  <c r="U65" i="18"/>
  <c r="V26" i="18"/>
  <c r="W22" i="16"/>
  <c r="T53" i="18"/>
  <c r="U14" i="18"/>
  <c r="W58" i="18"/>
  <c r="X19" i="18"/>
  <c r="S49" i="18"/>
  <c r="T10" i="18"/>
  <c r="V48" i="18"/>
  <c r="W9" i="18"/>
  <c r="W22" i="2"/>
  <c r="W15" i="18"/>
  <c r="V54" i="18"/>
  <c r="U13" i="18"/>
  <c r="T52" i="18"/>
  <c r="V26" i="16" s="1"/>
  <c r="V24" i="18"/>
  <c r="U63" i="18"/>
  <c r="T13" i="2"/>
  <c r="Z51" i="18"/>
  <c r="AA12" i="18"/>
  <c r="T61" i="18"/>
  <c r="U22" i="18"/>
  <c r="U64" i="18"/>
  <c r="V25" i="18"/>
  <c r="V7" i="18"/>
  <c r="U46" i="18"/>
  <c r="X94" i="13" l="1"/>
  <c r="Q72" i="18"/>
  <c r="P83" i="18"/>
  <c r="R24" i="16" s="1"/>
  <c r="R71" i="18"/>
  <c r="Q82" i="18"/>
  <c r="S23" i="16" s="1"/>
  <c r="T86" i="18"/>
  <c r="V27" i="16" s="1"/>
  <c r="U87" i="18"/>
  <c r="W28" i="16" s="1"/>
  <c r="Q29" i="16"/>
  <c r="Q68" i="18"/>
  <c r="P79" i="18"/>
  <c r="R20" i="16" s="1"/>
  <c r="X60" i="18"/>
  <c r="Y21" i="18"/>
  <c r="X22" i="16"/>
  <c r="U50" i="18"/>
  <c r="V11" i="18"/>
  <c r="V8" i="18"/>
  <c r="U47" i="18"/>
  <c r="W21" i="16" s="1"/>
  <c r="Y76" i="16"/>
  <c r="Y88" i="16"/>
  <c r="W23" i="18"/>
  <c r="V62" i="18"/>
  <c r="X25" i="16" s="1"/>
  <c r="W26" i="18"/>
  <c r="V65" i="18"/>
  <c r="X18" i="18"/>
  <c r="W57" i="18"/>
  <c r="W59" i="18"/>
  <c r="X20" i="18"/>
  <c r="Y19" i="18"/>
  <c r="X58" i="18"/>
  <c r="V14" i="18"/>
  <c r="U53" i="18"/>
  <c r="T49" i="18"/>
  <c r="U10" i="18"/>
  <c r="W48" i="18"/>
  <c r="X9" i="18"/>
  <c r="U13" i="2"/>
  <c r="W54" i="18"/>
  <c r="X15" i="18"/>
  <c r="U61" i="18"/>
  <c r="V22" i="18"/>
  <c r="AB12" i="18"/>
  <c r="AA51" i="18"/>
  <c r="V13" i="18"/>
  <c r="U52" i="18"/>
  <c r="W26" i="16" s="1"/>
  <c r="X22" i="2"/>
  <c r="W25" i="18"/>
  <c r="V64" i="18"/>
  <c r="V63" i="18"/>
  <c r="W24" i="18"/>
  <c r="V46" i="18"/>
  <c r="W7" i="18"/>
  <c r="Y94" i="13" l="1"/>
  <c r="R29" i="16"/>
  <c r="R34" i="16" s="1"/>
  <c r="R68" i="18"/>
  <c r="Q79" i="18"/>
  <c r="S20" i="16" s="1"/>
  <c r="U86" i="18"/>
  <c r="W27" i="16" s="1"/>
  <c r="V87" i="18"/>
  <c r="X28" i="16" s="1"/>
  <c r="Q33" i="16"/>
  <c r="Q34" i="16"/>
  <c r="Q32" i="16"/>
  <c r="S71" i="18"/>
  <c r="R82" i="18"/>
  <c r="T23" i="16" s="1"/>
  <c r="R72" i="18"/>
  <c r="Q83" i="18"/>
  <c r="S24" i="16" s="1"/>
  <c r="R32" i="16"/>
  <c r="Z21" i="18"/>
  <c r="Y60" i="18"/>
  <c r="V50" i="18"/>
  <c r="W11" i="18"/>
  <c r="Y22" i="16"/>
  <c r="V47" i="18"/>
  <c r="X21" i="16" s="1"/>
  <c r="W8" i="18"/>
  <c r="D76" i="16"/>
  <c r="Y18" i="18"/>
  <c r="X57" i="18"/>
  <c r="Z19" i="18"/>
  <c r="Y58" i="18"/>
  <c r="X26" i="18"/>
  <c r="W65" i="18"/>
  <c r="W87" i="18" s="1"/>
  <c r="X59" i="18"/>
  <c r="Y20" i="18"/>
  <c r="X23" i="18"/>
  <c r="W62" i="18"/>
  <c r="Y25" i="16" s="1"/>
  <c r="V53" i="18"/>
  <c r="W14" i="18"/>
  <c r="Z88" i="16"/>
  <c r="V13" i="2"/>
  <c r="Y22" i="2"/>
  <c r="AC12" i="18"/>
  <c r="AB51" i="18"/>
  <c r="X24" i="18"/>
  <c r="W63" i="18"/>
  <c r="W46" i="18"/>
  <c r="X7" i="18"/>
  <c r="Y15" i="18"/>
  <c r="X54" i="18"/>
  <c r="U49" i="18"/>
  <c r="V10" i="18"/>
  <c r="V61" i="18"/>
  <c r="W22" i="18"/>
  <c r="X25" i="18"/>
  <c r="W64" i="18"/>
  <c r="W13" i="18"/>
  <c r="V52" i="18"/>
  <c r="X26" i="16" s="1"/>
  <c r="X48" i="18"/>
  <c r="Y9" i="18"/>
  <c r="S29" i="16" l="1"/>
  <c r="R33" i="16"/>
  <c r="Z94" i="13"/>
  <c r="Q35" i="16"/>
  <c r="Q37" i="16" s="1"/>
  <c r="Q94" i="16" s="1"/>
  <c r="R35" i="16"/>
  <c r="R37" i="16" s="1"/>
  <c r="R94" i="16" s="1"/>
  <c r="Y28" i="16"/>
  <c r="T71" i="18"/>
  <c r="S82" i="18"/>
  <c r="U23" i="16" s="1"/>
  <c r="V86" i="18"/>
  <c r="X27" i="16" s="1"/>
  <c r="S33" i="16"/>
  <c r="S32" i="16"/>
  <c r="S34" i="16"/>
  <c r="S72" i="18"/>
  <c r="R83" i="18"/>
  <c r="T24" i="16" s="1"/>
  <c r="S68" i="18"/>
  <c r="R79" i="18"/>
  <c r="T20" i="16" s="1"/>
  <c r="Z60" i="18"/>
  <c r="AA21" i="18"/>
  <c r="Z22" i="16"/>
  <c r="X11" i="18"/>
  <c r="W50" i="18"/>
  <c r="X8" i="18"/>
  <c r="W47" i="18"/>
  <c r="Y21" i="16" s="1"/>
  <c r="X14" i="18"/>
  <c r="W53" i="18"/>
  <c r="X65" i="18"/>
  <c r="Y26" i="18"/>
  <c r="AA19" i="18"/>
  <c r="Z58" i="18"/>
  <c r="X62" i="18"/>
  <c r="Z25" i="16" s="1"/>
  <c r="Y23" i="18"/>
  <c r="Y59" i="18"/>
  <c r="Z20" i="18"/>
  <c r="AA88" i="16"/>
  <c r="Y57" i="18"/>
  <c r="Z18" i="18"/>
  <c r="Y25" i="18"/>
  <c r="X64" i="18"/>
  <c r="Z15" i="18"/>
  <c r="Y54" i="18"/>
  <c r="W52" i="18"/>
  <c r="Y26" i="16" s="1"/>
  <c r="X13" i="18"/>
  <c r="X46" i="18"/>
  <c r="Y7" i="18"/>
  <c r="Y24" i="18"/>
  <c r="X63" i="18"/>
  <c r="Y48" i="18"/>
  <c r="Z9" i="18"/>
  <c r="W61" i="18"/>
  <c r="X22" i="18"/>
  <c r="AD12" i="18"/>
  <c r="AC51" i="18"/>
  <c r="W10" i="18"/>
  <c r="V49" i="18"/>
  <c r="Z22" i="2"/>
  <c r="W13" i="2"/>
  <c r="Q113" i="16" l="1"/>
  <c r="R113" i="16"/>
  <c r="AA94" i="13"/>
  <c r="T29" i="16"/>
  <c r="T33" i="16" s="1"/>
  <c r="T72" i="18"/>
  <c r="S83" i="18"/>
  <c r="U24" i="16" s="1"/>
  <c r="W86" i="18"/>
  <c r="Y27" i="16" s="1"/>
  <c r="S35" i="16"/>
  <c r="S37" i="16" s="1"/>
  <c r="S94" i="16" s="1"/>
  <c r="T68" i="18"/>
  <c r="S79" i="18"/>
  <c r="U20" i="16" s="1"/>
  <c r="X87" i="18"/>
  <c r="Z28" i="16" s="1"/>
  <c r="U71" i="18"/>
  <c r="T82" i="18"/>
  <c r="V23" i="16" s="1"/>
  <c r="AA60" i="18"/>
  <c r="AB21" i="18"/>
  <c r="X50" i="18"/>
  <c r="Y11" i="18"/>
  <c r="AA22" i="16"/>
  <c r="X47" i="18"/>
  <c r="Z21" i="16" s="1"/>
  <c r="Y8" i="18"/>
  <c r="AB88" i="16"/>
  <c r="AA58" i="18"/>
  <c r="AB19" i="18"/>
  <c r="AA20" i="18"/>
  <c r="Z59" i="18"/>
  <c r="Y65" i="18"/>
  <c r="Y87" i="18" s="1"/>
  <c r="Z26" i="18"/>
  <c r="Y62" i="18"/>
  <c r="AA25" i="16" s="1"/>
  <c r="Z23" i="18"/>
  <c r="Z57" i="18"/>
  <c r="AA18" i="18"/>
  <c r="Y14" i="18"/>
  <c r="X53" i="18"/>
  <c r="X52" i="18"/>
  <c r="Z26" i="16" s="1"/>
  <c r="Y13" i="18"/>
  <c r="X13" i="2"/>
  <c r="AA22" i="2"/>
  <c r="Z54" i="18"/>
  <c r="AA15" i="18"/>
  <c r="AA9" i="18"/>
  <c r="Z48" i="18"/>
  <c r="AE12" i="18"/>
  <c r="AD51" i="18"/>
  <c r="Z24" i="18"/>
  <c r="Y63" i="18"/>
  <c r="Z25" i="18"/>
  <c r="Y64" i="18"/>
  <c r="X61" i="18"/>
  <c r="Y22" i="18"/>
  <c r="X10" i="18"/>
  <c r="W49" i="18"/>
  <c r="Y46" i="18"/>
  <c r="Z7" i="18"/>
  <c r="T34" i="16" l="1"/>
  <c r="T32" i="16"/>
  <c r="U29" i="16"/>
  <c r="U33" i="16" s="1"/>
  <c r="AB94" i="13"/>
  <c r="U68" i="18"/>
  <c r="T79" i="18"/>
  <c r="V20" i="16" s="1"/>
  <c r="U72" i="18"/>
  <c r="T83" i="18"/>
  <c r="V24" i="16" s="1"/>
  <c r="S113" i="16"/>
  <c r="V71" i="18"/>
  <c r="U82" i="18"/>
  <c r="W23" i="16" s="1"/>
  <c r="AA28" i="16"/>
  <c r="T35" i="16"/>
  <c r="T37" i="16" s="1"/>
  <c r="T94" i="16" s="1"/>
  <c r="X86" i="18"/>
  <c r="Z27" i="16" s="1"/>
  <c r="AC21" i="18"/>
  <c r="AB60" i="18"/>
  <c r="Y50" i="18"/>
  <c r="Z11" i="18"/>
  <c r="Y47" i="18"/>
  <c r="AA21" i="16" s="1"/>
  <c r="Z8" i="18"/>
  <c r="Z65" i="18"/>
  <c r="Z87" i="18" s="1"/>
  <c r="AA26" i="18"/>
  <c r="AB18" i="18"/>
  <c r="AA57" i="18"/>
  <c r="AA59" i="18"/>
  <c r="AB20" i="18"/>
  <c r="AC19" i="18"/>
  <c r="AB58" i="18"/>
  <c r="AA23" i="18"/>
  <c r="Z62" i="18"/>
  <c r="AB25" i="16" s="1"/>
  <c r="AB22" i="16"/>
  <c r="Z14" i="18"/>
  <c r="Y53" i="18"/>
  <c r="AC88" i="16"/>
  <c r="Y61" i="18"/>
  <c r="Z22" i="18"/>
  <c r="AA24" i="18"/>
  <c r="Z63" i="18"/>
  <c r="AB9" i="18"/>
  <c r="AA48" i="18"/>
  <c r="AB22" i="2"/>
  <c r="Z46" i="18"/>
  <c r="AA7" i="18"/>
  <c r="AB15" i="18"/>
  <c r="AA54" i="18"/>
  <c r="Z13" i="18"/>
  <c r="Y52" i="18"/>
  <c r="AA26" i="16" s="1"/>
  <c r="Z64" i="18"/>
  <c r="AA25" i="18"/>
  <c r="Y13" i="2"/>
  <c r="AE51" i="18"/>
  <c r="AF12" i="18"/>
  <c r="X49" i="18"/>
  <c r="Y10" i="18"/>
  <c r="U34" i="16" l="1"/>
  <c r="U32" i="16"/>
  <c r="AC94" i="13"/>
  <c r="T113" i="16"/>
  <c r="AB28" i="16"/>
  <c r="V72" i="18"/>
  <c r="U83" i="18"/>
  <c r="W24" i="16" s="1"/>
  <c r="Y86" i="18"/>
  <c r="AA27" i="16" s="1"/>
  <c r="V29" i="16"/>
  <c r="V68" i="18"/>
  <c r="U79" i="18"/>
  <c r="W20" i="16" s="1"/>
  <c r="W71" i="18"/>
  <c r="V82" i="18"/>
  <c r="X23" i="16" s="1"/>
  <c r="U35" i="16"/>
  <c r="U37" i="16" s="1"/>
  <c r="AD21" i="18"/>
  <c r="AC60" i="18"/>
  <c r="AA11" i="18"/>
  <c r="Z50" i="18"/>
  <c r="AC22" i="16"/>
  <c r="AA8" i="18"/>
  <c r="Z47" i="18"/>
  <c r="AB21" i="16" s="1"/>
  <c r="AC58" i="18"/>
  <c r="AD19" i="18"/>
  <c r="AC20" i="18"/>
  <c r="AB59" i="18"/>
  <c r="AA14" i="18"/>
  <c r="Z53" i="18"/>
  <c r="AB23" i="18"/>
  <c r="AA62" i="18"/>
  <c r="AC25" i="16" s="1"/>
  <c r="AB57" i="18"/>
  <c r="AC18" i="18"/>
  <c r="AD88" i="16"/>
  <c r="AA65" i="18"/>
  <c r="AB26" i="18"/>
  <c r="Y49" i="18"/>
  <c r="Z10" i="18"/>
  <c r="AC22" i="2"/>
  <c r="Z61" i="18"/>
  <c r="AA22" i="18"/>
  <c r="AB54" i="18"/>
  <c r="AC15" i="18"/>
  <c r="AF51" i="18"/>
  <c r="AG12" i="18"/>
  <c r="AB48" i="18"/>
  <c r="AC9" i="18"/>
  <c r="Z52" i="18"/>
  <c r="AB26" i="16" s="1"/>
  <c r="AA13" i="18"/>
  <c r="AA46" i="18"/>
  <c r="AB7" i="18"/>
  <c r="Z13" i="2"/>
  <c r="AA64" i="18"/>
  <c r="AB25" i="18"/>
  <c r="AB24" i="18"/>
  <c r="AA63" i="18"/>
  <c r="U94" i="16" l="1"/>
  <c r="AD94" i="13"/>
  <c r="Z86" i="18"/>
  <c r="AB27" i="16" s="1"/>
  <c r="X71" i="18"/>
  <c r="W82" i="18"/>
  <c r="Y23" i="16" s="1"/>
  <c r="W72" i="18"/>
  <c r="V83" i="18"/>
  <c r="X24" i="16" s="1"/>
  <c r="V33" i="16"/>
  <c r="V34" i="16"/>
  <c r="V32" i="16"/>
  <c r="AA87" i="18"/>
  <c r="AC28" i="16" s="1"/>
  <c r="W29" i="16"/>
  <c r="W68" i="18"/>
  <c r="V79" i="18"/>
  <c r="X20" i="16" s="1"/>
  <c r="AD60" i="18"/>
  <c r="AE21" i="18"/>
  <c r="AA50" i="18"/>
  <c r="AB11" i="18"/>
  <c r="AD22" i="16"/>
  <c r="AA47" i="18"/>
  <c r="AC21" i="16" s="1"/>
  <c r="AB8" i="18"/>
  <c r="AE88" i="16"/>
  <c r="AA53" i="18"/>
  <c r="AB14" i="18"/>
  <c r="AD18" i="18"/>
  <c r="AC57" i="18"/>
  <c r="AD20" i="18"/>
  <c r="AC59" i="18"/>
  <c r="AD58" i="18"/>
  <c r="AE19" i="18"/>
  <c r="AB65" i="18"/>
  <c r="AB87" i="18" s="1"/>
  <c r="AC26" i="18"/>
  <c r="AC23" i="18"/>
  <c r="AB62" i="18"/>
  <c r="AD25" i="16" s="1"/>
  <c r="AG51" i="18"/>
  <c r="AH12" i="18"/>
  <c r="Z49" i="18"/>
  <c r="AA10" i="18"/>
  <c r="AA13" i="2"/>
  <c r="AB13" i="18"/>
  <c r="AA52" i="18"/>
  <c r="AC26" i="16" s="1"/>
  <c r="AC54" i="18"/>
  <c r="AD15" i="18"/>
  <c r="AD22" i="2"/>
  <c r="AC48" i="18"/>
  <c r="AD9" i="18"/>
  <c r="AC24" i="18"/>
  <c r="AB63" i="18"/>
  <c r="AA61" i="18"/>
  <c r="AB22" i="18"/>
  <c r="AC7" i="18"/>
  <c r="AB46" i="18"/>
  <c r="AB64" i="18"/>
  <c r="AC25" i="18"/>
  <c r="U113" i="16" l="1"/>
  <c r="AE94" i="13"/>
  <c r="V35" i="16"/>
  <c r="V37" i="16" s="1"/>
  <c r="V94" i="16" s="1"/>
  <c r="Y71" i="18"/>
  <c r="X82" i="18"/>
  <c r="Z23" i="16" s="1"/>
  <c r="W33" i="16"/>
  <c r="W34" i="16"/>
  <c r="W32" i="16"/>
  <c r="X72" i="18"/>
  <c r="W83" i="18"/>
  <c r="Y24" i="16" s="1"/>
  <c r="X29" i="16"/>
  <c r="AD28" i="16"/>
  <c r="AA86" i="18"/>
  <c r="AC27" i="16" s="1"/>
  <c r="X68" i="18"/>
  <c r="W79" i="18"/>
  <c r="Y20" i="16" s="1"/>
  <c r="AE60" i="18"/>
  <c r="AF21" i="18"/>
  <c r="AE22" i="16"/>
  <c r="AB50" i="18"/>
  <c r="AC11" i="18"/>
  <c r="AB47" i="18"/>
  <c r="AD21" i="16" s="1"/>
  <c r="AC8" i="18"/>
  <c r="AD26" i="18"/>
  <c r="AC65" i="18"/>
  <c r="AC87" i="18" s="1"/>
  <c r="AE18" i="18"/>
  <c r="AD57" i="18"/>
  <c r="AF19" i="18"/>
  <c r="AE58" i="18"/>
  <c r="AB53" i="18"/>
  <c r="AC14" i="18"/>
  <c r="AD23" i="18"/>
  <c r="AC62" i="18"/>
  <c r="AE25" i="16" s="1"/>
  <c r="AD59" i="18"/>
  <c r="AE20" i="18"/>
  <c r="AF88" i="16"/>
  <c r="AD48" i="18"/>
  <c r="AE9" i="18"/>
  <c r="AD24" i="18"/>
  <c r="AC63" i="18"/>
  <c r="AE22" i="2"/>
  <c r="AA49" i="18"/>
  <c r="AB10" i="18"/>
  <c r="AC64" i="18"/>
  <c r="AD25" i="18"/>
  <c r="AH51" i="18"/>
  <c r="AI12" i="18"/>
  <c r="AB13" i="2"/>
  <c r="AC46" i="18"/>
  <c r="AD7" i="18"/>
  <c r="AD54" i="18"/>
  <c r="AE15" i="18"/>
  <c r="AB61" i="18"/>
  <c r="AC22" i="18"/>
  <c r="AC13" i="18"/>
  <c r="AB52" i="18"/>
  <c r="AD26" i="16" s="1"/>
  <c r="V113" i="16" l="1"/>
  <c r="Y29" i="16"/>
  <c r="Y32" i="16" s="1"/>
  <c r="AF94" i="13"/>
  <c r="W35" i="16"/>
  <c r="W37" i="16" s="1"/>
  <c r="W94" i="16" s="1"/>
  <c r="AE28" i="16"/>
  <c r="AB86" i="18"/>
  <c r="AD27" i="16" s="1"/>
  <c r="X34" i="16"/>
  <c r="X33" i="16"/>
  <c r="X32" i="16"/>
  <c r="Z71" i="18"/>
  <c r="Y82" i="18"/>
  <c r="AA23" i="16" s="1"/>
  <c r="Y68" i="18"/>
  <c r="X79" i="18"/>
  <c r="Z20" i="16" s="1"/>
  <c r="Y72" i="18"/>
  <c r="X83" i="18"/>
  <c r="Z24" i="16" s="1"/>
  <c r="AG21" i="18"/>
  <c r="AF60" i="18"/>
  <c r="AC50" i="18"/>
  <c r="AD11" i="18"/>
  <c r="AF22" i="16"/>
  <c r="AD8" i="18"/>
  <c r="AC47" i="18"/>
  <c r="AE21" i="16" s="1"/>
  <c r="AG19" i="18"/>
  <c r="AF58" i="18"/>
  <c r="AE23" i="18"/>
  <c r="AD62" i="18"/>
  <c r="AF25" i="16" s="1"/>
  <c r="AE59" i="18"/>
  <c r="AF20" i="18"/>
  <c r="AE57" i="18"/>
  <c r="AF18" i="18"/>
  <c r="AG88" i="16"/>
  <c r="AD14" i="18"/>
  <c r="AC53" i="18"/>
  <c r="AD65" i="18"/>
  <c r="AD87" i="18" s="1"/>
  <c r="AF28" i="16" s="1"/>
  <c r="AE26" i="18"/>
  <c r="AD13" i="18"/>
  <c r="AC52" i="18"/>
  <c r="AE26" i="16" s="1"/>
  <c r="AC61" i="18"/>
  <c r="AD22" i="18"/>
  <c r="AC10" i="18"/>
  <c r="AB49" i="18"/>
  <c r="AE24" i="18"/>
  <c r="AD63" i="18"/>
  <c r="AC13" i="2"/>
  <c r="AE48" i="18"/>
  <c r="AF9" i="18"/>
  <c r="AF15" i="18"/>
  <c r="AE54" i="18"/>
  <c r="AJ12" i="18"/>
  <c r="AI51" i="18"/>
  <c r="AE7" i="18"/>
  <c r="AD46" i="18"/>
  <c r="AD64" i="18"/>
  <c r="AE25" i="18"/>
  <c r="AF22" i="2"/>
  <c r="Y33" i="16" l="1"/>
  <c r="Y34" i="16"/>
  <c r="AG94" i="13"/>
  <c r="Z29" i="16"/>
  <c r="Z34" i="16" s="1"/>
  <c r="Z68" i="18"/>
  <c r="Y79" i="18"/>
  <c r="AA20" i="16" s="1"/>
  <c r="AC86" i="18"/>
  <c r="AE27" i="16" s="1"/>
  <c r="Z72" i="18"/>
  <c r="Y83" i="18"/>
  <c r="AA24" i="16" s="1"/>
  <c r="AA71" i="18"/>
  <c r="Z82" i="18"/>
  <c r="AB23" i="16" s="1"/>
  <c r="Y35" i="16"/>
  <c r="Y37" i="16" s="1"/>
  <c r="Y94" i="16" s="1"/>
  <c r="X35" i="16"/>
  <c r="X37" i="16" s="1"/>
  <c r="X94" i="16" s="1"/>
  <c r="W113" i="16"/>
  <c r="AH21" i="18"/>
  <c r="AG60" i="18"/>
  <c r="AD50" i="18"/>
  <c r="AE11" i="18"/>
  <c r="AG22" i="16"/>
  <c r="AE8" i="18"/>
  <c r="AD47" i="18"/>
  <c r="AF21" i="16" s="1"/>
  <c r="AD53" i="18"/>
  <c r="AE14" i="18"/>
  <c r="AF59" i="18"/>
  <c r="AG20" i="18"/>
  <c r="AH88" i="16"/>
  <c r="AE62" i="18"/>
  <c r="AG25" i="16" s="1"/>
  <c r="AF23" i="18"/>
  <c r="AF26" i="18"/>
  <c r="AE65" i="18"/>
  <c r="AE87" i="18" s="1"/>
  <c r="AF57" i="18"/>
  <c r="AG18" i="18"/>
  <c r="AG58" i="18"/>
  <c r="AH19" i="18"/>
  <c r="AG22" i="2"/>
  <c r="AE46" i="18"/>
  <c r="AF7" i="18"/>
  <c r="AD13" i="2"/>
  <c r="AF48" i="18"/>
  <c r="AG9" i="18"/>
  <c r="AE22" i="18"/>
  <c r="AD61" i="18"/>
  <c r="AD52" i="18"/>
  <c r="AF26" i="16" s="1"/>
  <c r="AE13" i="18"/>
  <c r="AF25" i="18"/>
  <c r="AE64" i="18"/>
  <c r="AF24" i="18"/>
  <c r="AE63" i="18"/>
  <c r="AD10" i="18"/>
  <c r="AC49" i="18"/>
  <c r="AJ51" i="18"/>
  <c r="AK12" i="18"/>
  <c r="AF54" i="18"/>
  <c r="AG15" i="18"/>
  <c r="Z33" i="16" l="1"/>
  <c r="Z32" i="16"/>
  <c r="AH94" i="13"/>
  <c r="Z35" i="16"/>
  <c r="Z37" i="16" s="1"/>
  <c r="Z94" i="16" s="1"/>
  <c r="Z113" i="16" s="1"/>
  <c r="Y113" i="16"/>
  <c r="AB71" i="18"/>
  <c r="AA82" i="18"/>
  <c r="AC23" i="16" s="1"/>
  <c r="X113" i="16"/>
  <c r="AA29" i="16"/>
  <c r="AA68" i="18"/>
  <c r="Z79" i="18"/>
  <c r="AB20" i="16" s="1"/>
  <c r="AA72" i="18"/>
  <c r="Z83" i="18"/>
  <c r="AB24" i="16" s="1"/>
  <c r="AG28" i="16"/>
  <c r="AD86" i="18"/>
  <c r="AF27" i="16" s="1"/>
  <c r="AH60" i="18"/>
  <c r="AI21" i="18"/>
  <c r="AH22" i="16"/>
  <c r="AF11" i="18"/>
  <c r="AE50" i="18"/>
  <c r="AF8" i="18"/>
  <c r="AE47" i="18"/>
  <c r="AG21" i="16" s="1"/>
  <c r="AI88" i="16"/>
  <c r="AG26" i="18"/>
  <c r="AF65" i="18"/>
  <c r="AF87" i="18" s="1"/>
  <c r="AH20" i="18"/>
  <c r="AG59" i="18"/>
  <c r="AG23" i="18"/>
  <c r="AF62" i="18"/>
  <c r="AH25" i="16" s="1"/>
  <c r="AI19" i="18"/>
  <c r="AH58" i="18"/>
  <c r="AF14" i="18"/>
  <c r="AE53" i="18"/>
  <c r="AH18" i="18"/>
  <c r="AG57" i="18"/>
  <c r="AF63" i="18"/>
  <c r="AG24" i="18"/>
  <c r="AE13" i="2"/>
  <c r="AF46" i="18"/>
  <c r="AG7" i="18"/>
  <c r="AK51" i="18"/>
  <c r="AL12" i="18"/>
  <c r="AF22" i="18"/>
  <c r="AE61" i="18"/>
  <c r="AG48" i="18"/>
  <c r="AH9" i="18"/>
  <c r="AE52" i="18"/>
  <c r="AG26" i="16" s="1"/>
  <c r="AF13" i="18"/>
  <c r="AF64" i="18"/>
  <c r="AG25" i="18"/>
  <c r="AH22" i="2"/>
  <c r="AG54" i="18"/>
  <c r="AH15" i="18"/>
  <c r="AE10" i="18"/>
  <c r="AD49" i="18"/>
  <c r="AI94" i="13" l="1"/>
  <c r="AB29" i="16"/>
  <c r="AB34" i="16" s="1"/>
  <c r="AC71" i="18"/>
  <c r="AB82" i="18"/>
  <c r="AD23" i="16" s="1"/>
  <c r="AA34" i="16"/>
  <c r="AA33" i="16"/>
  <c r="AA32" i="16"/>
  <c r="AE86" i="18"/>
  <c r="AG27" i="16" s="1"/>
  <c r="AB68" i="18"/>
  <c r="AA79" i="18"/>
  <c r="AC20" i="16" s="1"/>
  <c r="AH28" i="16"/>
  <c r="AB72" i="18"/>
  <c r="AA83" i="18"/>
  <c r="AC24" i="16" s="1"/>
  <c r="AJ21" i="18"/>
  <c r="AI60" i="18"/>
  <c r="AG11" i="18"/>
  <c r="AF50" i="18"/>
  <c r="AI22" i="16"/>
  <c r="AG8" i="18"/>
  <c r="AF47" i="18"/>
  <c r="AH21" i="16" s="1"/>
  <c r="AI20" i="18"/>
  <c r="AH59" i="18"/>
  <c r="AG65" i="18"/>
  <c r="AH26" i="18"/>
  <c r="AJ19" i="18"/>
  <c r="AI58" i="18"/>
  <c r="AI18" i="18"/>
  <c r="AH57" i="18"/>
  <c r="AG14" i="18"/>
  <c r="AF53" i="18"/>
  <c r="AJ88" i="16"/>
  <c r="AH23" i="18"/>
  <c r="AG62" i="18"/>
  <c r="AI25" i="16" s="1"/>
  <c r="AI22" i="2"/>
  <c r="AF61" i="18"/>
  <c r="AG22" i="18"/>
  <c r="AG13" i="18"/>
  <c r="AF52" i="18"/>
  <c r="AH26" i="16" s="1"/>
  <c r="AF13" i="2"/>
  <c r="AL51" i="18"/>
  <c r="AM12" i="18"/>
  <c r="AH7" i="18"/>
  <c r="AG46" i="18"/>
  <c r="AH54" i="18"/>
  <c r="AI15" i="18"/>
  <c r="AH25" i="18"/>
  <c r="AG64" i="18"/>
  <c r="AH48" i="18"/>
  <c r="AI9" i="18"/>
  <c r="AH24" i="18"/>
  <c r="AG63" i="18"/>
  <c r="AF10" i="18"/>
  <c r="AE49" i="18"/>
  <c r="AB33" i="16" l="1"/>
  <c r="AB32" i="16"/>
  <c r="AB35" i="16" s="1"/>
  <c r="AB37" i="16" s="1"/>
  <c r="AB94" i="16" s="1"/>
  <c r="AJ94" i="13"/>
  <c r="AC29" i="16"/>
  <c r="AC33" i="16" s="1"/>
  <c r="AA35" i="16"/>
  <c r="AA37" i="16" s="1"/>
  <c r="AA94" i="16" s="1"/>
  <c r="AF86" i="18"/>
  <c r="AH27" i="16" s="1"/>
  <c r="AC68" i="18"/>
  <c r="AB79" i="18"/>
  <c r="AD20" i="16" s="1"/>
  <c r="AC72" i="18"/>
  <c r="AB83" i="18"/>
  <c r="AD24" i="16" s="1"/>
  <c r="AG87" i="18"/>
  <c r="AI28" i="16" s="1"/>
  <c r="AD71" i="18"/>
  <c r="AC82" i="18"/>
  <c r="AE23" i="16" s="1"/>
  <c r="AJ22" i="16"/>
  <c r="AK21" i="18"/>
  <c r="AJ60" i="18"/>
  <c r="AH11" i="18"/>
  <c r="AG50" i="18"/>
  <c r="AG47" i="18"/>
  <c r="AI21" i="16" s="1"/>
  <c r="AH8" i="18"/>
  <c r="AJ58" i="18"/>
  <c r="AK19" i="18"/>
  <c r="AJ18" i="18"/>
  <c r="AI57" i="18"/>
  <c r="AK88" i="16"/>
  <c r="AH65" i="18"/>
  <c r="AH87" i="18" s="1"/>
  <c r="AI26" i="18"/>
  <c r="AG53" i="18"/>
  <c r="AH14" i="18"/>
  <c r="AI23" i="18"/>
  <c r="AH62" i="18"/>
  <c r="AJ25" i="16" s="1"/>
  <c r="AI59" i="18"/>
  <c r="AJ20" i="18"/>
  <c r="AH64" i="18"/>
  <c r="AI25" i="18"/>
  <c r="AI54" i="18"/>
  <c r="AJ15" i="18"/>
  <c r="AN12" i="18"/>
  <c r="AM51" i="18"/>
  <c r="AJ22" i="2"/>
  <c r="AG13" i="2"/>
  <c r="AH63" i="18"/>
  <c r="AI24" i="18"/>
  <c r="AG61" i="18"/>
  <c r="AH22" i="18"/>
  <c r="AG52" i="18"/>
  <c r="AI26" i="16" s="1"/>
  <c r="AH13" i="18"/>
  <c r="AF49" i="18"/>
  <c r="AG10" i="18"/>
  <c r="AJ9" i="18"/>
  <c r="AI48" i="18"/>
  <c r="AH46" i="18"/>
  <c r="AI7" i="18"/>
  <c r="AC34" i="16" l="1"/>
  <c r="AC32" i="16"/>
  <c r="AK94" i="13"/>
  <c r="AJ28" i="16"/>
  <c r="AB113" i="16"/>
  <c r="AC35" i="16"/>
  <c r="AC37" i="16" s="1"/>
  <c r="AC94" i="16" s="1"/>
  <c r="AD72" i="18"/>
  <c r="AC83" i="18"/>
  <c r="AE24" i="16" s="1"/>
  <c r="AD29" i="16"/>
  <c r="AA113" i="16"/>
  <c r="AE71" i="18"/>
  <c r="AD82" i="18"/>
  <c r="AF23" i="16" s="1"/>
  <c r="AG86" i="18"/>
  <c r="AI27" i="16" s="1"/>
  <c r="AD68" i="18"/>
  <c r="AC79" i="18"/>
  <c r="AE20" i="16" s="1"/>
  <c r="AK60" i="18"/>
  <c r="AL21" i="18"/>
  <c r="AH50" i="18"/>
  <c r="AI11" i="18"/>
  <c r="AK22" i="16"/>
  <c r="AI8" i="18"/>
  <c r="AH47" i="18"/>
  <c r="AJ21" i="16" s="1"/>
  <c r="AH53" i="18"/>
  <c r="AI14" i="18"/>
  <c r="AJ57" i="18"/>
  <c r="AK18" i="18"/>
  <c r="AL19" i="18"/>
  <c r="AK58" i="18"/>
  <c r="AL88" i="16"/>
  <c r="AI62" i="18"/>
  <c r="AK25" i="16" s="1"/>
  <c r="AJ23" i="18"/>
  <c r="AK20" i="18"/>
  <c r="AJ59" i="18"/>
  <c r="AI65" i="18"/>
  <c r="AI87" i="18" s="1"/>
  <c r="AJ26" i="18"/>
  <c r="AO12" i="18"/>
  <c r="AN51" i="18"/>
  <c r="AJ54" i="18"/>
  <c r="AK15" i="18"/>
  <c r="AJ25" i="18"/>
  <c r="AI64" i="18"/>
  <c r="AH13" i="2"/>
  <c r="AK22" i="2"/>
  <c r="AI46" i="18"/>
  <c r="AJ7" i="18"/>
  <c r="AI13" i="18"/>
  <c r="AH52" i="18"/>
  <c r="AJ26" i="16" s="1"/>
  <c r="AH10" i="18"/>
  <c r="AG49" i="18"/>
  <c r="AJ48" i="18"/>
  <c r="AK9" i="18"/>
  <c r="AJ24" i="18"/>
  <c r="AI63" i="18"/>
  <c r="AH61" i="18"/>
  <c r="AI22" i="18"/>
  <c r="AL94" i="13" l="1"/>
  <c r="AE29" i="16"/>
  <c r="AE32" i="16" s="1"/>
  <c r="AC113" i="16"/>
  <c r="AE68" i="18"/>
  <c r="AD79" i="18"/>
  <c r="AF20" i="16" s="1"/>
  <c r="AK28" i="16"/>
  <c r="AH86" i="18"/>
  <c r="AJ27" i="16" s="1"/>
  <c r="AF71" i="18"/>
  <c r="AE82" i="18"/>
  <c r="AG23" i="16" s="1"/>
  <c r="AD33" i="16"/>
  <c r="AD32" i="16"/>
  <c r="AD34" i="16"/>
  <c r="AE72" i="18"/>
  <c r="AD83" i="18"/>
  <c r="AF24" i="16" s="1"/>
  <c r="AL60" i="18"/>
  <c r="AM21" i="18"/>
  <c r="AI50" i="18"/>
  <c r="AJ11" i="18"/>
  <c r="AL22" i="16"/>
  <c r="AJ8" i="18"/>
  <c r="AI47" i="18"/>
  <c r="AK21" i="16" s="1"/>
  <c r="AM19" i="18"/>
  <c r="AL58" i="18"/>
  <c r="AL20" i="18"/>
  <c r="AK59" i="18"/>
  <c r="AK23" i="18"/>
  <c r="AJ62" i="18"/>
  <c r="AL25" i="16" s="1"/>
  <c r="AK57" i="18"/>
  <c r="AL18" i="18"/>
  <c r="AI53" i="18"/>
  <c r="AI86" i="18" s="1"/>
  <c r="AK27" i="16" s="1"/>
  <c r="AJ14" i="18"/>
  <c r="AM88" i="16"/>
  <c r="AK26" i="18"/>
  <c r="AJ65" i="18"/>
  <c r="AJ87" i="18" s="1"/>
  <c r="AJ64" i="18"/>
  <c r="AK25" i="18"/>
  <c r="AI61" i="18"/>
  <c r="AJ22" i="18"/>
  <c r="AI13" i="2"/>
  <c r="AL9" i="18"/>
  <c r="AK48" i="18"/>
  <c r="AK54" i="18"/>
  <c r="AL15" i="18"/>
  <c r="AI52" i="18"/>
  <c r="AK26" i="16" s="1"/>
  <c r="AJ13" i="18"/>
  <c r="AK24" i="18"/>
  <c r="AJ63" i="18"/>
  <c r="AJ46" i="18"/>
  <c r="AK7" i="18"/>
  <c r="AO51" i="18"/>
  <c r="AP12" i="18"/>
  <c r="AH49" i="18"/>
  <c r="AI10" i="18"/>
  <c r="AL22" i="2"/>
  <c r="AE33" i="16" l="1"/>
  <c r="AE34" i="16"/>
  <c r="AE35" i="16" s="1"/>
  <c r="AE37" i="16" s="1"/>
  <c r="AE94" i="16" s="1"/>
  <c r="AF29" i="16"/>
  <c r="AF34" i="16" s="1"/>
  <c r="AM94" i="13"/>
  <c r="AF33" i="16"/>
  <c r="AF32" i="16"/>
  <c r="AF72" i="18"/>
  <c r="AE83" i="18"/>
  <c r="AG24" i="16" s="1"/>
  <c r="AF68" i="18"/>
  <c r="AE79" i="18"/>
  <c r="AG20" i="16" s="1"/>
  <c r="AD35" i="16"/>
  <c r="AD37" i="16" s="1"/>
  <c r="AD94" i="16" s="1"/>
  <c r="AL28" i="16"/>
  <c r="AG71" i="18"/>
  <c r="AF82" i="18"/>
  <c r="AH23" i="16" s="1"/>
  <c r="AM60" i="18"/>
  <c r="AN21" i="18"/>
  <c r="AJ50" i="18"/>
  <c r="AK11" i="18"/>
  <c r="AM22" i="16"/>
  <c r="AJ47" i="18"/>
  <c r="AL21" i="16" s="1"/>
  <c r="AK8" i="18"/>
  <c r="AN88" i="16"/>
  <c r="AL23" i="18"/>
  <c r="AK62" i="18"/>
  <c r="AM25" i="16" s="1"/>
  <c r="AK14" i="18"/>
  <c r="AJ53" i="18"/>
  <c r="AJ86" i="18" s="1"/>
  <c r="AL27" i="16" s="1"/>
  <c r="AM20" i="18"/>
  <c r="AL59" i="18"/>
  <c r="AL57" i="18"/>
  <c r="AM18" i="18"/>
  <c r="AK65" i="18"/>
  <c r="AL26" i="18"/>
  <c r="AM58" i="18"/>
  <c r="AN19" i="18"/>
  <c r="AP51" i="18"/>
  <c r="AQ12" i="18"/>
  <c r="AK13" i="18"/>
  <c r="AJ52" i="18"/>
  <c r="AL26" i="16" s="1"/>
  <c r="AJ13" i="2"/>
  <c r="AI49" i="18"/>
  <c r="AJ10" i="18"/>
  <c r="AJ61" i="18"/>
  <c r="AK22" i="18"/>
  <c r="AL24" i="18"/>
  <c r="AK63" i="18"/>
  <c r="AL54" i="18"/>
  <c r="AM15" i="18"/>
  <c r="AM9" i="18"/>
  <c r="AL48" i="18"/>
  <c r="AL25" i="18"/>
  <c r="AK64" i="18"/>
  <c r="AM22" i="2"/>
  <c r="AL7" i="18"/>
  <c r="AK46" i="18"/>
  <c r="AN94" i="13" l="1"/>
  <c r="AF35" i="16"/>
  <c r="AF37" i="16" s="1"/>
  <c r="AF94" i="16" s="1"/>
  <c r="AG68" i="18"/>
  <c r="AF79" i="18"/>
  <c r="AH20" i="16" s="1"/>
  <c r="AH71" i="18"/>
  <c r="AG82" i="18"/>
  <c r="AI23" i="16" s="1"/>
  <c r="AD113" i="16"/>
  <c r="AG72" i="18"/>
  <c r="AF83" i="18"/>
  <c r="AH24" i="16" s="1"/>
  <c r="AE113" i="16"/>
  <c r="AK87" i="18"/>
  <c r="AM28" i="16" s="1"/>
  <c r="AG29" i="16"/>
  <c r="AO21" i="18"/>
  <c r="AN60" i="18"/>
  <c r="AK50" i="18"/>
  <c r="AL11" i="18"/>
  <c r="AN22" i="16"/>
  <c r="AK47" i="18"/>
  <c r="AM21" i="16" s="1"/>
  <c r="AL8" i="18"/>
  <c r="AL65" i="18"/>
  <c r="AM26" i="18"/>
  <c r="AK53" i="18"/>
  <c r="AL14" i="18"/>
  <c r="AM57" i="18"/>
  <c r="AN18" i="18"/>
  <c r="AL62" i="18"/>
  <c r="AN25" i="16" s="1"/>
  <c r="AM23" i="18"/>
  <c r="AO19" i="18"/>
  <c r="AN58" i="18"/>
  <c r="AN20" i="18"/>
  <c r="AM59" i="18"/>
  <c r="AO88" i="16"/>
  <c r="AJ49" i="18"/>
  <c r="AK10" i="18"/>
  <c r="AL64" i="18"/>
  <c r="AM25" i="18"/>
  <c r="AN15" i="18"/>
  <c r="AM54" i="18"/>
  <c r="AQ51" i="18"/>
  <c r="AR12" i="18"/>
  <c r="AN9" i="18"/>
  <c r="AM48" i="18"/>
  <c r="AL63" i="18"/>
  <c r="AM24" i="18"/>
  <c r="AK52" i="18"/>
  <c r="AM26" i="16" s="1"/>
  <c r="AL13" i="18"/>
  <c r="AK13" i="2"/>
  <c r="AK61" i="18"/>
  <c r="AL22" i="18"/>
  <c r="AL46" i="18"/>
  <c r="AM7" i="18"/>
  <c r="AN22" i="2"/>
  <c r="AF113" i="16" l="1"/>
  <c r="AO94" i="13"/>
  <c r="AH72" i="18"/>
  <c r="AG83" i="18"/>
  <c r="AI24" i="16" s="1"/>
  <c r="AI71" i="18"/>
  <c r="AH82" i="18"/>
  <c r="AJ23" i="16" s="1"/>
  <c r="AH29" i="16"/>
  <c r="AH68" i="18"/>
  <c r="AG79" i="18"/>
  <c r="AI20" i="16" s="1"/>
  <c r="AK86" i="18"/>
  <c r="AM27" i="16" s="1"/>
  <c r="AG33" i="16"/>
  <c r="AG32" i="16"/>
  <c r="AG34" i="16"/>
  <c r="AL87" i="18"/>
  <c r="AN28" i="16" s="1"/>
  <c r="AO60" i="18"/>
  <c r="AP21" i="18"/>
  <c r="AM11" i="18"/>
  <c r="AL50" i="18"/>
  <c r="AM8" i="18"/>
  <c r="AL47" i="18"/>
  <c r="AN21" i="16" s="1"/>
  <c r="AO18" i="18"/>
  <c r="AN57" i="18"/>
  <c r="AN59" i="18"/>
  <c r="AO20" i="18"/>
  <c r="AP19" i="18"/>
  <c r="AO58" i="18"/>
  <c r="AL53" i="18"/>
  <c r="AM14" i="18"/>
  <c r="AO22" i="16"/>
  <c r="AM62" i="18"/>
  <c r="AO25" i="16" s="1"/>
  <c r="AN23" i="18"/>
  <c r="AN26" i="18"/>
  <c r="AM65" i="18"/>
  <c r="AM87" i="18" s="1"/>
  <c r="AP88" i="16"/>
  <c r="AM64" i="18"/>
  <c r="AN25" i="18"/>
  <c r="AM22" i="18"/>
  <c r="AL61" i="18"/>
  <c r="AK49" i="18"/>
  <c r="AL10" i="18"/>
  <c r="AM46" i="18"/>
  <c r="AN7" i="18"/>
  <c r="AM13" i="18"/>
  <c r="AL52" i="18"/>
  <c r="AN26" i="16" s="1"/>
  <c r="AO9" i="18"/>
  <c r="AN48" i="18"/>
  <c r="AO22" i="2"/>
  <c r="AO15" i="18"/>
  <c r="AN54" i="18"/>
  <c r="AL13" i="2"/>
  <c r="AN24" i="18"/>
  <c r="AM63" i="18"/>
  <c r="AR51" i="18"/>
  <c r="AS12" i="18"/>
  <c r="AP94" i="13" l="1"/>
  <c r="AI29" i="16"/>
  <c r="AI34" i="16" s="1"/>
  <c r="AI68" i="18"/>
  <c r="AH79" i="18"/>
  <c r="AJ20" i="16" s="1"/>
  <c r="AJ71" i="18"/>
  <c r="AI82" i="18"/>
  <c r="AK23" i="16" s="1"/>
  <c r="AO28" i="16"/>
  <c r="AI72" i="18"/>
  <c r="AH83" i="18"/>
  <c r="AJ24" i="16" s="1"/>
  <c r="AH34" i="16"/>
  <c r="AH33" i="16"/>
  <c r="AH32" i="16"/>
  <c r="AL86" i="18"/>
  <c r="AN27" i="16" s="1"/>
  <c r="AG35" i="16"/>
  <c r="AG37" i="16" s="1"/>
  <c r="AG94" i="16" s="1"/>
  <c r="AQ21" i="18"/>
  <c r="AP60" i="18"/>
  <c r="AP22" i="16"/>
  <c r="AN11" i="18"/>
  <c r="AM50" i="18"/>
  <c r="AN8" i="18"/>
  <c r="AM47" i="18"/>
  <c r="AO21" i="16" s="1"/>
  <c r="AQ19" i="18"/>
  <c r="AP58" i="18"/>
  <c r="AO26" i="18"/>
  <c r="AN65" i="18"/>
  <c r="AN87" i="18" s="1"/>
  <c r="AO23" i="18"/>
  <c r="AN62" i="18"/>
  <c r="AP25" i="16" s="1"/>
  <c r="AO59" i="18"/>
  <c r="AP20" i="18"/>
  <c r="AQ88" i="16"/>
  <c r="AN14" i="18"/>
  <c r="AM53" i="18"/>
  <c r="AP18" i="18"/>
  <c r="AO57" i="18"/>
  <c r="AM10" i="18"/>
  <c r="AL49" i="18"/>
  <c r="AP22" i="2"/>
  <c r="AO48" i="18"/>
  <c r="AP9" i="18"/>
  <c r="AN22" i="18"/>
  <c r="AM61" i="18"/>
  <c r="AN64" i="18"/>
  <c r="AO25" i="18"/>
  <c r="AT12" i="18"/>
  <c r="AS51" i="18"/>
  <c r="AM13" i="2"/>
  <c r="AO54" i="18"/>
  <c r="AP15" i="18"/>
  <c r="AN13" i="18"/>
  <c r="AM52" i="18"/>
  <c r="AO26" i="16" s="1"/>
  <c r="AO24" i="18"/>
  <c r="AN63" i="18"/>
  <c r="AO7" i="18"/>
  <c r="AN46" i="18"/>
  <c r="AI33" i="16" l="1"/>
  <c r="AI32" i="16"/>
  <c r="AQ94" i="13"/>
  <c r="AH35" i="16"/>
  <c r="AH37" i="16" s="1"/>
  <c r="AH94" i="16" s="1"/>
  <c r="AM86" i="18"/>
  <c r="AO27" i="16" s="1"/>
  <c r="AP28" i="16"/>
  <c r="AJ72" i="18"/>
  <c r="AI83" i="18"/>
  <c r="AK24" i="16" s="1"/>
  <c r="AK71" i="18"/>
  <c r="AJ82" i="18"/>
  <c r="AL23" i="16" s="1"/>
  <c r="AJ29" i="16"/>
  <c r="AG113" i="16"/>
  <c r="AJ68" i="18"/>
  <c r="AI79" i="18"/>
  <c r="AK20" i="16" s="1"/>
  <c r="AR21" i="18"/>
  <c r="AQ60" i="18"/>
  <c r="AN50" i="18"/>
  <c r="AO11" i="18"/>
  <c r="AN47" i="18"/>
  <c r="AP21" i="16" s="1"/>
  <c r="AO8" i="18"/>
  <c r="AP23" i="18"/>
  <c r="AO62" i="18"/>
  <c r="AQ25" i="16" s="1"/>
  <c r="AR88" i="16"/>
  <c r="AP26" i="18"/>
  <c r="AO65" i="18"/>
  <c r="AO87" i="18" s="1"/>
  <c r="AN53" i="18"/>
  <c r="AO14" i="18"/>
  <c r="AQ22" i="16"/>
  <c r="AQ18" i="18"/>
  <c r="AP57" i="18"/>
  <c r="AP59" i="18"/>
  <c r="AQ20" i="18"/>
  <c r="AR19" i="18"/>
  <c r="AQ58" i="18"/>
  <c r="AQ22" i="2"/>
  <c r="AN10" i="18"/>
  <c r="AM49" i="18"/>
  <c r="AN13" i="2"/>
  <c r="AT51" i="18"/>
  <c r="AU12" i="18"/>
  <c r="AO46" i="18"/>
  <c r="AP7" i="18"/>
  <c r="AP54" i="18"/>
  <c r="AQ15" i="18"/>
  <c r="AP25" i="18"/>
  <c r="AO64" i="18"/>
  <c r="AP48" i="18"/>
  <c r="AQ9" i="18"/>
  <c r="AP24" i="18"/>
  <c r="AO63" i="18"/>
  <c r="AO13" i="18"/>
  <c r="AN52" i="18"/>
  <c r="AP26" i="16" s="1"/>
  <c r="AN61" i="18"/>
  <c r="AO22" i="18"/>
  <c r="AI35" i="16" l="1"/>
  <c r="AI37" i="16" s="1"/>
  <c r="AI94" i="16" s="1"/>
  <c r="AR94" i="13"/>
  <c r="AK29" i="16"/>
  <c r="AK33" i="16" s="1"/>
  <c r="AL71" i="18"/>
  <c r="AK82" i="18"/>
  <c r="AM23" i="16" s="1"/>
  <c r="AK72" i="18"/>
  <c r="AJ83" i="18"/>
  <c r="AL24" i="16" s="1"/>
  <c r="AJ32" i="16"/>
  <c r="AJ33" i="16"/>
  <c r="AJ34" i="16"/>
  <c r="AH113" i="16"/>
  <c r="AN86" i="18"/>
  <c r="AP27" i="16" s="1"/>
  <c r="AK68" i="18"/>
  <c r="AJ79" i="18"/>
  <c r="AL20" i="16" s="1"/>
  <c r="AQ28" i="16"/>
  <c r="AS21" i="18"/>
  <c r="AR60" i="18"/>
  <c r="AO50" i="18"/>
  <c r="AP11" i="18"/>
  <c r="AO47" i="18"/>
  <c r="AQ21" i="16" s="1"/>
  <c r="AP8" i="18"/>
  <c r="AP65" i="18"/>
  <c r="AQ26" i="18"/>
  <c r="AS88" i="16"/>
  <c r="AP14" i="18"/>
  <c r="AO53" i="18"/>
  <c r="AR22" i="16"/>
  <c r="AR58" i="18"/>
  <c r="AS19" i="18"/>
  <c r="AQ57" i="18"/>
  <c r="AR18" i="18"/>
  <c r="AR20" i="18"/>
  <c r="AQ59" i="18"/>
  <c r="AP62" i="18"/>
  <c r="AR25" i="16" s="1"/>
  <c r="AQ23" i="18"/>
  <c r="AU51" i="18"/>
  <c r="AV12" i="18"/>
  <c r="AQ48" i="18"/>
  <c r="AR9" i="18"/>
  <c r="AQ54" i="18"/>
  <c r="AR15" i="18"/>
  <c r="AN49" i="18"/>
  <c r="AO10" i="18"/>
  <c r="AP64" i="18"/>
  <c r="AQ25" i="18"/>
  <c r="AR22" i="2"/>
  <c r="AO13" i="2"/>
  <c r="AP22" i="18"/>
  <c r="AO61" i="18"/>
  <c r="AP46" i="18"/>
  <c r="AQ7" i="18"/>
  <c r="AO52" i="18"/>
  <c r="AQ26" i="16" s="1"/>
  <c r="AP13" i="18"/>
  <c r="AQ24" i="18"/>
  <c r="AP63" i="18"/>
  <c r="AK34" i="16" l="1"/>
  <c r="AK32" i="16"/>
  <c r="AI113" i="16"/>
  <c r="AS94" i="13"/>
  <c r="AL29" i="16"/>
  <c r="AL32" i="16" s="1"/>
  <c r="AL68" i="18"/>
  <c r="AK79" i="18"/>
  <c r="AM20" i="16" s="1"/>
  <c r="AO86" i="18"/>
  <c r="AQ27" i="16" s="1"/>
  <c r="AJ35" i="16"/>
  <c r="AJ37" i="16" s="1"/>
  <c r="AJ94" i="16" s="1"/>
  <c r="AM71" i="18"/>
  <c r="AL82" i="18"/>
  <c r="AN23" i="16" s="1"/>
  <c r="AL72" i="18"/>
  <c r="AK83" i="18"/>
  <c r="AM24" i="16" s="1"/>
  <c r="AQ87" i="18"/>
  <c r="AP87" i="18"/>
  <c r="AR28" i="16" s="1"/>
  <c r="AK35" i="16"/>
  <c r="AK37" i="16" s="1"/>
  <c r="AK94" i="16" s="1"/>
  <c r="AS60" i="18"/>
  <c r="AT21" i="18"/>
  <c r="AQ11" i="18"/>
  <c r="AP50" i="18"/>
  <c r="AS22" i="16"/>
  <c r="AP47" i="18"/>
  <c r="AR21" i="16" s="1"/>
  <c r="AQ8" i="18"/>
  <c r="AP53" i="18"/>
  <c r="AQ14" i="18"/>
  <c r="AT19" i="18"/>
  <c r="AS58" i="18"/>
  <c r="AR59" i="18"/>
  <c r="AS20" i="18"/>
  <c r="AQ62" i="18"/>
  <c r="AS25" i="16" s="1"/>
  <c r="AR23" i="18"/>
  <c r="AT88" i="16"/>
  <c r="AR57" i="18"/>
  <c r="AS18" i="18"/>
  <c r="AQ65" i="18"/>
  <c r="AR26" i="18"/>
  <c r="AR48" i="18"/>
  <c r="AS9" i="18"/>
  <c r="AP52" i="18"/>
  <c r="AR26" i="16" s="1"/>
  <c r="AQ13" i="18"/>
  <c r="AQ63" i="18"/>
  <c r="AR24" i="18"/>
  <c r="AR25" i="18"/>
  <c r="AQ64" i="18"/>
  <c r="AW12" i="18"/>
  <c r="AV51" i="18"/>
  <c r="AQ22" i="18"/>
  <c r="AP61" i="18"/>
  <c r="AO49" i="18"/>
  <c r="AP10" i="18"/>
  <c r="AQ46" i="18"/>
  <c r="AR7" i="18"/>
  <c r="AP13" i="2"/>
  <c r="AS22" i="2"/>
  <c r="AR54" i="18"/>
  <c r="AS15" i="18"/>
  <c r="AL33" i="16" l="1"/>
  <c r="AL34" i="16"/>
  <c r="AT94" i="13"/>
  <c r="AM29" i="16"/>
  <c r="AM32" i="16" s="1"/>
  <c r="AL35" i="16"/>
  <c r="AL37" i="16" s="1"/>
  <c r="AL94" i="16" s="1"/>
  <c r="AL113" i="16" s="1"/>
  <c r="AN71" i="18"/>
  <c r="AM82" i="18"/>
  <c r="AO23" i="16" s="1"/>
  <c r="AP86" i="18"/>
  <c r="AR27" i="16" s="1"/>
  <c r="AJ113" i="16"/>
  <c r="AM72" i="18"/>
  <c r="AL83" i="18"/>
  <c r="AN24" i="16" s="1"/>
  <c r="AK113" i="16"/>
  <c r="AS28" i="16"/>
  <c r="AM68" i="18"/>
  <c r="AL79" i="18"/>
  <c r="AN20" i="16" s="1"/>
  <c r="AT60" i="18"/>
  <c r="AU21" i="18"/>
  <c r="AR11" i="18"/>
  <c r="AQ50" i="18"/>
  <c r="AT22" i="16"/>
  <c r="AR8" i="18"/>
  <c r="AQ47" i="18"/>
  <c r="AS21" i="16" s="1"/>
  <c r="AT20" i="18"/>
  <c r="AS59" i="18"/>
  <c r="AU88" i="16"/>
  <c r="AU19" i="18"/>
  <c r="AT58" i="18"/>
  <c r="AR65" i="18"/>
  <c r="AR87" i="18" s="1"/>
  <c r="AS26" i="18"/>
  <c r="AQ53" i="18"/>
  <c r="AR14" i="18"/>
  <c r="AS57" i="18"/>
  <c r="AT18" i="18"/>
  <c r="AS23" i="18"/>
  <c r="AR62" i="18"/>
  <c r="AT25" i="16" s="1"/>
  <c r="AR46" i="18"/>
  <c r="AS7" i="18"/>
  <c r="AP49" i="18"/>
  <c r="AQ10" i="18"/>
  <c r="AS25" i="18"/>
  <c r="AR64" i="18"/>
  <c r="AS48" i="18"/>
  <c r="AT9" i="18"/>
  <c r="AQ52" i="18"/>
  <c r="AS26" i="16" s="1"/>
  <c r="AR13" i="18"/>
  <c r="AQ13" i="2"/>
  <c r="AR63" i="18"/>
  <c r="AS24" i="18"/>
  <c r="AT22" i="2"/>
  <c r="AW51" i="18"/>
  <c r="AX12" i="18"/>
  <c r="AQ61" i="18"/>
  <c r="AR22" i="18"/>
  <c r="AS54" i="18"/>
  <c r="AT15" i="18"/>
  <c r="AM33" i="16" l="1"/>
  <c r="AM34" i="16"/>
  <c r="AM35" i="16" s="1"/>
  <c r="AM37" i="16" s="1"/>
  <c r="AM94" i="16" s="1"/>
  <c r="AU94" i="13"/>
  <c r="AN29" i="16"/>
  <c r="AN32" i="16" s="1"/>
  <c r="AN72" i="18"/>
  <c r="AM83" i="18"/>
  <c r="AO24" i="16" s="1"/>
  <c r="AT28" i="16"/>
  <c r="AN68" i="18"/>
  <c r="AM79" i="18"/>
  <c r="AO20" i="16" s="1"/>
  <c r="AQ86" i="18"/>
  <c r="AS27" i="16" s="1"/>
  <c r="AO71" i="18"/>
  <c r="AN82" i="18"/>
  <c r="AP23" i="16" s="1"/>
  <c r="AU60" i="18"/>
  <c r="AV21" i="18"/>
  <c r="AR50" i="18"/>
  <c r="AS11" i="18"/>
  <c r="AU22" i="16"/>
  <c r="AR47" i="18"/>
  <c r="AT21" i="16" s="1"/>
  <c r="AS8" i="18"/>
  <c r="AU18" i="18"/>
  <c r="AT57" i="18"/>
  <c r="AU58" i="18"/>
  <c r="AV19" i="18"/>
  <c r="AS14" i="18"/>
  <c r="AR53" i="18"/>
  <c r="AV88" i="16"/>
  <c r="AS65" i="18"/>
  <c r="AS87" i="18" s="1"/>
  <c r="AT26" i="18"/>
  <c r="AT23" i="18"/>
  <c r="AS62" i="18"/>
  <c r="AU25" i="16" s="1"/>
  <c r="AU20" i="18"/>
  <c r="AT59" i="18"/>
  <c r="AR52" i="18"/>
  <c r="AT26" i="16" s="1"/>
  <c r="AS13" i="18"/>
  <c r="AS46" i="18"/>
  <c r="AT7" i="18"/>
  <c r="AR61" i="18"/>
  <c r="AS22" i="18"/>
  <c r="AR13" i="2"/>
  <c r="AS63" i="18"/>
  <c r="AT24" i="18"/>
  <c r="AT54" i="18"/>
  <c r="AU15" i="18"/>
  <c r="AR10" i="18"/>
  <c r="AQ49" i="18"/>
  <c r="AX51" i="18"/>
  <c r="AY12" i="18"/>
  <c r="AU9" i="18"/>
  <c r="AT48" i="18"/>
  <c r="AU22" i="2"/>
  <c r="AT25" i="18"/>
  <c r="AS64" i="18"/>
  <c r="AN34" i="16" l="1"/>
  <c r="AN33" i="16"/>
  <c r="AV94" i="13"/>
  <c r="AP71" i="18"/>
  <c r="AO82" i="18"/>
  <c r="AQ23" i="16" s="1"/>
  <c r="AO72" i="18"/>
  <c r="AN83" i="18"/>
  <c r="AP24" i="16" s="1"/>
  <c r="AO29" i="16"/>
  <c r="AO68" i="18"/>
  <c r="AN79" i="18"/>
  <c r="AP20" i="16" s="1"/>
  <c r="AN35" i="16"/>
  <c r="AN37" i="16" s="1"/>
  <c r="AN94" i="16" s="1"/>
  <c r="AM113" i="16"/>
  <c r="AU28" i="16"/>
  <c r="AR86" i="18"/>
  <c r="AT27" i="16" s="1"/>
  <c r="AW21" i="18"/>
  <c r="AV60" i="18"/>
  <c r="AV22" i="16"/>
  <c r="AS50" i="18"/>
  <c r="AT11" i="18"/>
  <c r="AS47" i="18"/>
  <c r="AU21" i="16" s="1"/>
  <c r="AT8" i="18"/>
  <c r="AS53" i="18"/>
  <c r="AT14" i="18"/>
  <c r="AT62" i="18"/>
  <c r="AV25" i="16" s="1"/>
  <c r="AU23" i="18"/>
  <c r="AW19" i="18"/>
  <c r="AV58" i="18"/>
  <c r="AU26" i="18"/>
  <c r="AT65" i="18"/>
  <c r="AT87" i="18" s="1"/>
  <c r="AV20" i="18"/>
  <c r="AU59" i="18"/>
  <c r="AW88" i="16"/>
  <c r="AV18" i="18"/>
  <c r="AU57" i="18"/>
  <c r="AT46" i="18"/>
  <c r="AU7" i="18"/>
  <c r="AT63" i="18"/>
  <c r="AU24" i="18"/>
  <c r="AV22" i="2"/>
  <c r="AS61" i="18"/>
  <c r="AT22" i="18"/>
  <c r="AS52" i="18"/>
  <c r="AU26" i="16" s="1"/>
  <c r="AT13" i="18"/>
  <c r="AS13" i="2"/>
  <c r="AT64" i="18"/>
  <c r="AU25" i="18"/>
  <c r="AU48" i="18"/>
  <c r="AV9" i="18"/>
  <c r="AS10" i="18"/>
  <c r="AR49" i="18"/>
  <c r="AZ12" i="18"/>
  <c r="AY51" i="18"/>
  <c r="AV15" i="18"/>
  <c r="AU54" i="18"/>
  <c r="AW94" i="13" l="1"/>
  <c r="AP72" i="18"/>
  <c r="AO83" i="18"/>
  <c r="AQ24" i="16" s="1"/>
  <c r="AV28" i="16"/>
  <c r="AN113" i="16"/>
  <c r="AO33" i="16"/>
  <c r="AO34" i="16"/>
  <c r="AO32" i="16"/>
  <c r="AS86" i="18"/>
  <c r="AU27" i="16" s="1"/>
  <c r="AP68" i="18"/>
  <c r="AO79" i="18"/>
  <c r="AQ20" i="16" s="1"/>
  <c r="AP29" i="16"/>
  <c r="AQ71" i="18"/>
  <c r="AP82" i="18"/>
  <c r="AR23" i="16" s="1"/>
  <c r="AW60" i="18"/>
  <c r="AX21" i="18"/>
  <c r="AT50" i="18"/>
  <c r="AU11" i="18"/>
  <c r="AT47" i="18"/>
  <c r="AV21" i="16" s="1"/>
  <c r="AU8" i="18"/>
  <c r="AU65" i="18"/>
  <c r="AV26" i="18"/>
  <c r="AX19" i="18"/>
  <c r="AW58" i="18"/>
  <c r="AV59" i="18"/>
  <c r="AW20" i="18"/>
  <c r="AV23" i="18"/>
  <c r="AU62" i="18"/>
  <c r="AW25" i="16" s="1"/>
  <c r="AX88" i="16"/>
  <c r="AW22" i="16"/>
  <c r="AT53" i="18"/>
  <c r="AT86" i="18" s="1"/>
  <c r="AV27" i="16" s="1"/>
  <c r="AU14" i="18"/>
  <c r="AV57" i="18"/>
  <c r="AW18" i="18"/>
  <c r="AT13" i="2"/>
  <c r="AU63" i="18"/>
  <c r="AV24" i="18"/>
  <c r="AW22" i="2"/>
  <c r="AZ51" i="18"/>
  <c r="BA12" i="18"/>
  <c r="AV25" i="18"/>
  <c r="AU64" i="18"/>
  <c r="AT61" i="18"/>
  <c r="AU22" i="18"/>
  <c r="AU13" i="18"/>
  <c r="AT52" i="18"/>
  <c r="AV26" i="16" s="1"/>
  <c r="AT10" i="18"/>
  <c r="AS49" i="18"/>
  <c r="AV7" i="18"/>
  <c r="AU46" i="18"/>
  <c r="AV54" i="18"/>
  <c r="AW15" i="18"/>
  <c r="AW9" i="18"/>
  <c r="AV48" i="18"/>
  <c r="AQ29" i="16" l="1"/>
  <c r="AY88" i="16"/>
  <c r="AX94" i="13"/>
  <c r="AO35" i="16"/>
  <c r="AO37" i="16" s="1"/>
  <c r="AO94" i="16" s="1"/>
  <c r="AQ34" i="16"/>
  <c r="AQ32" i="16"/>
  <c r="AQ33" i="16"/>
  <c r="AQ68" i="18"/>
  <c r="AP79" i="18"/>
  <c r="AR20" i="16" s="1"/>
  <c r="AU87" i="18"/>
  <c r="AW28" i="16" s="1"/>
  <c r="AR71" i="18"/>
  <c r="AQ82" i="18"/>
  <c r="AS23" i="16" s="1"/>
  <c r="AP32" i="16"/>
  <c r="AP33" i="16"/>
  <c r="AP34" i="16"/>
  <c r="AQ72" i="18"/>
  <c r="AP83" i="18"/>
  <c r="AR24" i="16" s="1"/>
  <c r="AY21" i="18"/>
  <c r="AX60" i="18"/>
  <c r="BA51" i="18"/>
  <c r="BB12" i="18"/>
  <c r="AV11" i="18"/>
  <c r="AU50" i="18"/>
  <c r="AX22" i="16"/>
  <c r="AU47" i="18"/>
  <c r="AW21" i="16" s="1"/>
  <c r="AV8" i="18"/>
  <c r="AX20" i="18"/>
  <c r="AW59" i="18"/>
  <c r="AX58" i="18"/>
  <c r="AY19" i="18"/>
  <c r="AW57" i="18"/>
  <c r="AX18" i="18"/>
  <c r="AW26" i="18"/>
  <c r="AV65" i="18"/>
  <c r="AW23" i="18"/>
  <c r="AV62" i="18"/>
  <c r="AX25" i="16" s="1"/>
  <c r="AV14" i="18"/>
  <c r="AU53" i="18"/>
  <c r="AW24" i="18"/>
  <c r="AV63" i="18"/>
  <c r="AW7" i="18"/>
  <c r="AV46" i="18"/>
  <c r="AV64" i="18"/>
  <c r="AW25" i="18"/>
  <c r="AU10" i="18"/>
  <c r="AT49" i="18"/>
  <c r="AU13" i="2"/>
  <c r="AX15" i="18"/>
  <c r="AW54" i="18"/>
  <c r="AX22" i="2"/>
  <c r="AU52" i="18"/>
  <c r="AW26" i="16" s="1"/>
  <c r="AV13" i="18"/>
  <c r="AX9" i="18"/>
  <c r="AW48" i="18"/>
  <c r="AU61" i="18"/>
  <c r="AV22" i="18"/>
  <c r="AO113" i="16" l="1"/>
  <c r="AZ88" i="16"/>
  <c r="AY94" i="13"/>
  <c r="AP35" i="16"/>
  <c r="AP37" i="16" s="1"/>
  <c r="AP94" i="16" s="1"/>
  <c r="AP113" i="16" s="1"/>
  <c r="AR29" i="16"/>
  <c r="AR32" i="16" s="1"/>
  <c r="AR68" i="18"/>
  <c r="AQ79" i="18"/>
  <c r="AS20" i="16" s="1"/>
  <c r="AR72" i="18"/>
  <c r="AQ83" i="18"/>
  <c r="AS24" i="16" s="1"/>
  <c r="AS71" i="18"/>
  <c r="AR82" i="18"/>
  <c r="AT23" i="16" s="1"/>
  <c r="AV87" i="18"/>
  <c r="AX28" i="16" s="1"/>
  <c r="AU86" i="18"/>
  <c r="AW27" i="16" s="1"/>
  <c r="AQ35" i="16"/>
  <c r="AQ37" i="16" s="1"/>
  <c r="AQ94" i="16" s="1"/>
  <c r="AY22" i="16"/>
  <c r="AZ21" i="18"/>
  <c r="AY60" i="18"/>
  <c r="BC12" i="18"/>
  <c r="BB51" i="18"/>
  <c r="AV50" i="18"/>
  <c r="AW11" i="18"/>
  <c r="AW8" i="18"/>
  <c r="AV47" i="18"/>
  <c r="AX21" i="16" s="1"/>
  <c r="AY18" i="18"/>
  <c r="AX57" i="18"/>
  <c r="AX23" i="18"/>
  <c r="AW62" i="18"/>
  <c r="AY25" i="16" s="1"/>
  <c r="AX26" i="18"/>
  <c r="AW65" i="18"/>
  <c r="AZ19" i="18"/>
  <c r="AY58" i="18"/>
  <c r="AV53" i="18"/>
  <c r="AW14" i="18"/>
  <c r="AY20" i="18"/>
  <c r="AX59" i="18"/>
  <c r="AW46" i="18"/>
  <c r="AX7" i="18"/>
  <c r="AX54" i="18"/>
  <c r="AY15" i="18"/>
  <c r="AX24" i="18"/>
  <c r="AW63" i="18"/>
  <c r="AV10" i="18"/>
  <c r="AU49" i="18"/>
  <c r="AX48" i="18"/>
  <c r="AY9" i="18"/>
  <c r="AV52" i="18"/>
  <c r="AX26" i="16" s="1"/>
  <c r="AW13" i="18"/>
  <c r="AV13" i="2"/>
  <c r="AY22" i="2"/>
  <c r="AW22" i="18"/>
  <c r="AV61" i="18"/>
  <c r="AW64" i="18"/>
  <c r="AX25" i="18"/>
  <c r="AR34" i="16" l="1"/>
  <c r="AR33" i="16"/>
  <c r="AR35" i="16" s="1"/>
  <c r="AR37" i="16" s="1"/>
  <c r="AR94" i="16" s="1"/>
  <c r="BA88" i="16"/>
  <c r="AZ94" i="13"/>
  <c r="AS29" i="16"/>
  <c r="AS32" i="16" s="1"/>
  <c r="AT71" i="18"/>
  <c r="AS82" i="18"/>
  <c r="AU23" i="16" s="1"/>
  <c r="AS72" i="18"/>
  <c r="AR83" i="18"/>
  <c r="AT24" i="16" s="1"/>
  <c r="AQ113" i="16"/>
  <c r="AV86" i="18"/>
  <c r="AX27" i="16" s="1"/>
  <c r="AW87" i="18"/>
  <c r="AY28" i="16" s="1"/>
  <c r="AS68" i="18"/>
  <c r="AR79" i="18"/>
  <c r="AT20" i="16" s="1"/>
  <c r="BA21" i="18"/>
  <c r="AZ60" i="18"/>
  <c r="BD12" i="18"/>
  <c r="BC51" i="18"/>
  <c r="AX11" i="18"/>
  <c r="AW50" i="18"/>
  <c r="AZ22" i="16"/>
  <c r="AW47" i="18"/>
  <c r="AY21" i="16" s="1"/>
  <c r="AX8" i="18"/>
  <c r="AY26" i="18"/>
  <c r="AX65" i="18"/>
  <c r="AX14" i="18"/>
  <c r="AW53" i="18"/>
  <c r="AY23" i="18"/>
  <c r="AX62" i="18"/>
  <c r="AZ25" i="16" s="1"/>
  <c r="AY57" i="18"/>
  <c r="AZ18" i="18"/>
  <c r="AZ58" i="18"/>
  <c r="BA19" i="18"/>
  <c r="AY59" i="18"/>
  <c r="AZ20" i="18"/>
  <c r="AY7" i="18"/>
  <c r="AX46" i="18"/>
  <c r="AY24" i="18"/>
  <c r="AX63" i="18"/>
  <c r="AW13" i="2"/>
  <c r="AX13" i="18"/>
  <c r="AW52" i="18"/>
  <c r="AY26" i="16" s="1"/>
  <c r="AY54" i="18"/>
  <c r="AZ15" i="18"/>
  <c r="AX64" i="18"/>
  <c r="AY25" i="18"/>
  <c r="AW10" i="18"/>
  <c r="AV49" i="18"/>
  <c r="AY48" i="18"/>
  <c r="AZ9" i="18"/>
  <c r="AX22" i="18"/>
  <c r="AW61" i="18"/>
  <c r="AZ22" i="2"/>
  <c r="AS34" i="16" l="1"/>
  <c r="AS33" i="16"/>
  <c r="BB88" i="16"/>
  <c r="BA94" i="13"/>
  <c r="AT29" i="16"/>
  <c r="AT32" i="16" s="1"/>
  <c r="AS35" i="16"/>
  <c r="AS37" i="16" s="1"/>
  <c r="AS94" i="16" s="1"/>
  <c r="AR113" i="16"/>
  <c r="AT68" i="18"/>
  <c r="AS79" i="18"/>
  <c r="AU20" i="16" s="1"/>
  <c r="AT72" i="18"/>
  <c r="AS83" i="18"/>
  <c r="AU24" i="16" s="1"/>
  <c r="AW86" i="18"/>
  <c r="AY27" i="16" s="1"/>
  <c r="AX87" i="18"/>
  <c r="AZ28" i="16" s="1"/>
  <c r="AU71" i="18"/>
  <c r="AT82" i="18"/>
  <c r="AV23" i="16" s="1"/>
  <c r="BA60" i="18"/>
  <c r="BB21" i="18"/>
  <c r="BE12" i="18"/>
  <c r="BD51" i="18"/>
  <c r="BA58" i="18"/>
  <c r="BB19" i="18"/>
  <c r="AY11" i="18"/>
  <c r="AX50" i="18"/>
  <c r="AY8" i="18"/>
  <c r="AX47" i="18"/>
  <c r="AZ21" i="16" s="1"/>
  <c r="AY62" i="18"/>
  <c r="BA25" i="16" s="1"/>
  <c r="AZ23" i="18"/>
  <c r="AZ26" i="18"/>
  <c r="AY65" i="18"/>
  <c r="AY87" i="18" s="1"/>
  <c r="AZ57" i="18"/>
  <c r="BA18" i="18"/>
  <c r="BA22" i="16"/>
  <c r="AY14" i="18"/>
  <c r="AX53" i="18"/>
  <c r="AZ59" i="18"/>
  <c r="BA20" i="18"/>
  <c r="AX61" i="18"/>
  <c r="AY22" i="18"/>
  <c r="BA9" i="18"/>
  <c r="AZ48" i="18"/>
  <c r="AY13" i="18"/>
  <c r="AX52" i="18"/>
  <c r="AZ26" i="16" s="1"/>
  <c r="AZ54" i="18"/>
  <c r="BA15" i="18"/>
  <c r="AX13" i="2"/>
  <c r="AZ25" i="18"/>
  <c r="AY64" i="18"/>
  <c r="AW49" i="18"/>
  <c r="AX10" i="18"/>
  <c r="AZ7" i="18"/>
  <c r="AY46" i="18"/>
  <c r="AZ24" i="18"/>
  <c r="AY63" i="18"/>
  <c r="BA22" i="2"/>
  <c r="AT33" i="16" l="1"/>
  <c r="AT34" i="16"/>
  <c r="AT35" i="16" s="1"/>
  <c r="AT37" i="16" s="1"/>
  <c r="AT94" i="16" s="1"/>
  <c r="BB94" i="13"/>
  <c r="BC88" i="16"/>
  <c r="AS113" i="16"/>
  <c r="AU72" i="18"/>
  <c r="AT83" i="18"/>
  <c r="AV24" i="16" s="1"/>
  <c r="AX86" i="18"/>
  <c r="AZ27" i="16" s="1"/>
  <c r="AV71" i="18"/>
  <c r="AU82" i="18"/>
  <c r="AW23" i="16" s="1"/>
  <c r="AU29" i="16"/>
  <c r="AU68" i="18"/>
  <c r="AT79" i="18"/>
  <c r="AV20" i="16" s="1"/>
  <c r="BA28" i="16"/>
  <c r="BC21" i="18"/>
  <c r="BB60" i="18"/>
  <c r="BC19" i="18"/>
  <c r="BB58" i="18"/>
  <c r="BA48" i="18"/>
  <c r="BB9" i="18"/>
  <c r="BA59" i="18"/>
  <c r="BB20" i="18"/>
  <c r="BA54" i="18"/>
  <c r="BB15" i="18"/>
  <c r="BA57" i="18"/>
  <c r="BB18" i="18"/>
  <c r="BF12" i="18"/>
  <c r="BE51" i="18"/>
  <c r="AY50" i="18"/>
  <c r="AZ11" i="18"/>
  <c r="BB22" i="2"/>
  <c r="BC22" i="2" s="1"/>
  <c r="BD22" i="2" s="1"/>
  <c r="BE22" i="2" s="1"/>
  <c r="BF22" i="2" s="1"/>
  <c r="BG22" i="2" s="1"/>
  <c r="BH22" i="2" s="1"/>
  <c r="BI22" i="2" s="1"/>
  <c r="BJ22" i="2" s="1"/>
  <c r="BK22" i="2" s="1"/>
  <c r="BL22" i="2" s="1"/>
  <c r="BM22" i="2" s="1"/>
  <c r="BN22" i="2" s="1"/>
  <c r="BO22" i="2" s="1"/>
  <c r="BP22" i="2" s="1"/>
  <c r="BQ22" i="2" s="1"/>
  <c r="BR22" i="2" s="1"/>
  <c r="BS22" i="2" s="1"/>
  <c r="BT22" i="2" s="1"/>
  <c r="BU22" i="2" s="1"/>
  <c r="BV22" i="2" s="1"/>
  <c r="BW22" i="2" s="1"/>
  <c r="BX22" i="2" s="1"/>
  <c r="BY22" i="2" s="1"/>
  <c r="BZ22" i="2" s="1"/>
  <c r="CA22" i="2" s="1"/>
  <c r="CB22" i="2" s="1"/>
  <c r="CC22" i="2" s="1"/>
  <c r="CD22" i="2" s="1"/>
  <c r="CE22" i="2" s="1"/>
  <c r="CF22" i="2" s="1"/>
  <c r="CG22" i="2" s="1"/>
  <c r="CH22" i="2" s="1"/>
  <c r="CI22" i="2" s="1"/>
  <c r="AY47" i="18"/>
  <c r="BA21" i="16" s="1"/>
  <c r="AZ8" i="18"/>
  <c r="BA26" i="18"/>
  <c r="AZ65" i="18"/>
  <c r="BB22" i="16"/>
  <c r="AZ14" i="18"/>
  <c r="AY53" i="18"/>
  <c r="BA23" i="18"/>
  <c r="AZ62" i="18"/>
  <c r="BB25" i="16" s="1"/>
  <c r="AY61" i="18"/>
  <c r="AZ22" i="18"/>
  <c r="AZ64" i="18"/>
  <c r="BA25" i="18"/>
  <c r="AZ63" i="18"/>
  <c r="BA24" i="18"/>
  <c r="AZ13" i="18"/>
  <c r="AY52" i="18"/>
  <c r="BA26" i="16" s="1"/>
  <c r="AY13" i="2"/>
  <c r="AY10" i="18"/>
  <c r="AX49" i="18"/>
  <c r="AZ46" i="18"/>
  <c r="BA7" i="18"/>
  <c r="BC94" i="13" l="1"/>
  <c r="BD88" i="16"/>
  <c r="AU34" i="16"/>
  <c r="AU32" i="16"/>
  <c r="AU33" i="16"/>
  <c r="AV29" i="16"/>
  <c r="AW71" i="18"/>
  <c r="AV82" i="18"/>
  <c r="AX23" i="16" s="1"/>
  <c r="AT113" i="16"/>
  <c r="AV72" i="18"/>
  <c r="AU83" i="18"/>
  <c r="AW24" i="16" s="1"/>
  <c r="AV68" i="18"/>
  <c r="AU79" i="18"/>
  <c r="AW20" i="16" s="1"/>
  <c r="AY86" i="18"/>
  <c r="BA27" i="16" s="1"/>
  <c r="AZ87" i="18"/>
  <c r="BB28" i="16" s="1"/>
  <c r="BD21" i="18"/>
  <c r="BC60" i="18"/>
  <c r="BC22" i="16"/>
  <c r="D22" i="16" s="1"/>
  <c r="BB48" i="18"/>
  <c r="BC9" i="18"/>
  <c r="BA65" i="18"/>
  <c r="BB26" i="18"/>
  <c r="BF51" i="18"/>
  <c r="BG12" i="18"/>
  <c r="BC15" i="18"/>
  <c r="BB54" i="18"/>
  <c r="BD19" i="18"/>
  <c r="BC58" i="18"/>
  <c r="BA62" i="18"/>
  <c r="BC25" i="16" s="1"/>
  <c r="D25" i="16" s="1"/>
  <c r="BB23" i="18"/>
  <c r="BC18" i="18"/>
  <c r="BB57" i="18"/>
  <c r="BA46" i="18"/>
  <c r="BB7" i="18"/>
  <c r="BA63" i="18"/>
  <c r="BB24" i="18"/>
  <c r="BA64" i="18"/>
  <c r="BB25" i="18"/>
  <c r="BB59" i="18"/>
  <c r="BC20" i="18"/>
  <c r="BA11" i="18"/>
  <c r="AZ50" i="18"/>
  <c r="AZ47" i="18"/>
  <c r="BB21" i="16" s="1"/>
  <c r="BA8" i="18"/>
  <c r="BA14" i="18"/>
  <c r="AZ53" i="18"/>
  <c r="AZ86" i="18" s="1"/>
  <c r="BB27" i="16" s="1"/>
  <c r="AY49" i="18"/>
  <c r="AZ10" i="18"/>
  <c r="AZ52" i="18"/>
  <c r="BB26" i="16" s="1"/>
  <c r="BA13" i="18"/>
  <c r="BA22" i="18"/>
  <c r="AZ61" i="18"/>
  <c r="AZ13" i="2"/>
  <c r="BE88" i="16" l="1"/>
  <c r="BD94" i="13"/>
  <c r="AX71" i="18"/>
  <c r="AW82" i="18"/>
  <c r="AY23" i="16" s="1"/>
  <c r="AW68" i="18"/>
  <c r="AV79" i="18"/>
  <c r="AX20" i="16" s="1"/>
  <c r="AV32" i="16"/>
  <c r="AV33" i="16"/>
  <c r="AV34" i="16"/>
  <c r="AW72" i="18"/>
  <c r="AV83" i="18"/>
  <c r="AX24" i="16" s="1"/>
  <c r="AU35" i="16"/>
  <c r="AU37" i="16" s="1"/>
  <c r="AU94" i="16" s="1"/>
  <c r="BA87" i="18"/>
  <c r="BC28" i="16" s="1"/>
  <c r="AW29" i="16"/>
  <c r="BE21" i="18"/>
  <c r="BD60" i="18"/>
  <c r="BH12" i="18"/>
  <c r="BG51" i="18"/>
  <c r="BB63" i="18"/>
  <c r="BC24" i="18"/>
  <c r="BC26" i="18"/>
  <c r="BB65" i="18"/>
  <c r="BA47" i="18"/>
  <c r="BC21" i="16" s="1"/>
  <c r="D21" i="16" s="1"/>
  <c r="BB8" i="18"/>
  <c r="BC7" i="18"/>
  <c r="BB46" i="18"/>
  <c r="BD9" i="18"/>
  <c r="BC48" i="18"/>
  <c r="BC25" i="18"/>
  <c r="BB64" i="18"/>
  <c r="BA52" i="18"/>
  <c r="BC26" i="16" s="1"/>
  <c r="D26" i="16" s="1"/>
  <c r="BB13" i="18"/>
  <c r="BD15" i="18"/>
  <c r="BC54" i="18"/>
  <c r="BD22" i="16"/>
  <c r="BD18" i="18"/>
  <c r="BC57" i="18"/>
  <c r="BC23" i="18"/>
  <c r="BB62" i="18"/>
  <c r="BD25" i="16" s="1"/>
  <c r="BA61" i="18"/>
  <c r="BB22" i="18"/>
  <c r="BE19" i="18"/>
  <c r="BD58" i="18"/>
  <c r="BA53" i="18"/>
  <c r="BB14" i="18"/>
  <c r="BD20" i="18"/>
  <c r="BC59" i="18"/>
  <c r="BA50" i="18"/>
  <c r="BB11" i="18"/>
  <c r="BA13" i="2"/>
  <c r="AZ49" i="18"/>
  <c r="BA10" i="18"/>
  <c r="AX29" i="16" l="1"/>
  <c r="BE94" i="13"/>
  <c r="BF88" i="16"/>
  <c r="AW33" i="16"/>
  <c r="AW32" i="16"/>
  <c r="AW34" i="16"/>
  <c r="AX33" i="16"/>
  <c r="AX32" i="16"/>
  <c r="AX34" i="16"/>
  <c r="AX68" i="18"/>
  <c r="AW79" i="18"/>
  <c r="AY20" i="16" s="1"/>
  <c r="AX72" i="18"/>
  <c r="AW83" i="18"/>
  <c r="AY24" i="16" s="1"/>
  <c r="BA86" i="18"/>
  <c r="BC27" i="16" s="1"/>
  <c r="BB87" i="18"/>
  <c r="BD28" i="16" s="1"/>
  <c r="AY71" i="18"/>
  <c r="AX82" i="18"/>
  <c r="AZ23" i="16" s="1"/>
  <c r="AU113" i="16"/>
  <c r="AV35" i="16"/>
  <c r="AV37" i="16" s="1"/>
  <c r="AV94" i="16" s="1"/>
  <c r="BE22" i="16"/>
  <c r="BE60" i="18"/>
  <c r="BF21" i="18"/>
  <c r="BB13" i="2"/>
  <c r="BC13" i="2" s="1"/>
  <c r="BD13" i="2" s="1"/>
  <c r="BE13" i="2" s="1"/>
  <c r="BF13" i="2" s="1"/>
  <c r="BG13" i="2" s="1"/>
  <c r="BH13" i="2" s="1"/>
  <c r="BI13" i="2" s="1"/>
  <c r="BJ13" i="2" s="1"/>
  <c r="BK13" i="2" s="1"/>
  <c r="BL13" i="2" s="1"/>
  <c r="BM13" i="2" s="1"/>
  <c r="BN13" i="2" s="1"/>
  <c r="BO13" i="2" s="1"/>
  <c r="BP13" i="2" s="1"/>
  <c r="BQ13" i="2" s="1"/>
  <c r="BR13" i="2" s="1"/>
  <c r="BS13" i="2" s="1"/>
  <c r="BT13" i="2" s="1"/>
  <c r="BU13" i="2" s="1"/>
  <c r="BV13" i="2" s="1"/>
  <c r="BW13" i="2" s="1"/>
  <c r="BX13" i="2" s="1"/>
  <c r="BY13" i="2" s="1"/>
  <c r="BZ13" i="2" s="1"/>
  <c r="CA13" i="2" s="1"/>
  <c r="CB13" i="2" s="1"/>
  <c r="CC13" i="2" s="1"/>
  <c r="CD13" i="2" s="1"/>
  <c r="CE13" i="2" s="1"/>
  <c r="CF13" i="2" s="1"/>
  <c r="CG13" i="2" s="1"/>
  <c r="CH13" i="2" s="1"/>
  <c r="CI13" i="2" s="1"/>
  <c r="BF19" i="18"/>
  <c r="BE58" i="18"/>
  <c r="BD24" i="18"/>
  <c r="BC63" i="18"/>
  <c r="BC22" i="18"/>
  <c r="BB61" i="18"/>
  <c r="BD26" i="18"/>
  <c r="BC65" i="18"/>
  <c r="BC87" i="18" s="1"/>
  <c r="BE15" i="18"/>
  <c r="BD54" i="18"/>
  <c r="BC64" i="18"/>
  <c r="BD25" i="18"/>
  <c r="BE9" i="18"/>
  <c r="BD48" i="18"/>
  <c r="BC14" i="18"/>
  <c r="BB53" i="18"/>
  <c r="BD23" i="18"/>
  <c r="BC62" i="18"/>
  <c r="BE25" i="16" s="1"/>
  <c r="BC13" i="18"/>
  <c r="BB52" i="18"/>
  <c r="BD26" i="16" s="1"/>
  <c r="BD7" i="18"/>
  <c r="BC46" i="18"/>
  <c r="BE18" i="18"/>
  <c r="BD57" i="18"/>
  <c r="BE20" i="18"/>
  <c r="BD59" i="18"/>
  <c r="BC8" i="18"/>
  <c r="BB47" i="18"/>
  <c r="BD21" i="16" s="1"/>
  <c r="BI12" i="18"/>
  <c r="BH51" i="18"/>
  <c r="BB50" i="18"/>
  <c r="BC11" i="18"/>
  <c r="BA49" i="18"/>
  <c r="BB10" i="18"/>
  <c r="BF94" i="13" l="1"/>
  <c r="BG88" i="16"/>
  <c r="AW35" i="16"/>
  <c r="AW37" i="16" s="1"/>
  <c r="AW94" i="16" s="1"/>
  <c r="AW113" i="16" s="1"/>
  <c r="AY68" i="18"/>
  <c r="AX79" i="18"/>
  <c r="AZ20" i="16" s="1"/>
  <c r="BB86" i="18"/>
  <c r="BD27" i="16" s="1"/>
  <c r="BE28" i="16"/>
  <c r="AV113" i="16"/>
  <c r="AX35" i="16"/>
  <c r="AX37" i="16" s="1"/>
  <c r="AX94" i="16" s="1"/>
  <c r="AZ71" i="18"/>
  <c r="AY82" i="18"/>
  <c r="BA23" i="16" s="1"/>
  <c r="AY72" i="18"/>
  <c r="AX83" i="18"/>
  <c r="AZ24" i="16" s="1"/>
  <c r="AY29" i="16"/>
  <c r="BG21" i="18"/>
  <c r="BF60" i="18"/>
  <c r="BF22" i="16"/>
  <c r="BJ12" i="18"/>
  <c r="BI51" i="18"/>
  <c r="BF9" i="18"/>
  <c r="BE48" i="18"/>
  <c r="BD22" i="18"/>
  <c r="BC61" i="18"/>
  <c r="BE25" i="18"/>
  <c r="BD64" i="18"/>
  <c r="BF20" i="18"/>
  <c r="BE59" i="18"/>
  <c r="BF15" i="18"/>
  <c r="BE54" i="18"/>
  <c r="BE24" i="18"/>
  <c r="BD63" i="18"/>
  <c r="BE7" i="18"/>
  <c r="BD46" i="18"/>
  <c r="BD13" i="18"/>
  <c r="BC52" i="18"/>
  <c r="BE26" i="16" s="1"/>
  <c r="BE26" i="18"/>
  <c r="BD65" i="18"/>
  <c r="BD87" i="18" s="1"/>
  <c r="BD8" i="18"/>
  <c r="BC47" i="18"/>
  <c r="BE21" i="16" s="1"/>
  <c r="BE23" i="18"/>
  <c r="BD62" i="18"/>
  <c r="BF25" i="16" s="1"/>
  <c r="BF18" i="18"/>
  <c r="BE57" i="18"/>
  <c r="BD14" i="18"/>
  <c r="BC53" i="18"/>
  <c r="BG19" i="18"/>
  <c r="BF58" i="18"/>
  <c r="BD11" i="18"/>
  <c r="BC50" i="18"/>
  <c r="BC10" i="18"/>
  <c r="BB49" i="18"/>
  <c r="BC73" i="16"/>
  <c r="BC77" i="16" s="1"/>
  <c r="AX73" i="16"/>
  <c r="AX77" i="16" s="1"/>
  <c r="AY73" i="16"/>
  <c r="AY77" i="16" s="1"/>
  <c r="BA73" i="16"/>
  <c r="BA77" i="16" s="1"/>
  <c r="AZ73" i="16"/>
  <c r="AZ77" i="16" s="1"/>
  <c r="BG94" i="13" l="1"/>
  <c r="BH88" i="16"/>
  <c r="AZ72" i="18"/>
  <c r="AY83" i="18"/>
  <c r="BA24" i="16" s="1"/>
  <c r="AX113" i="16"/>
  <c r="BF28" i="16"/>
  <c r="AY32" i="16"/>
  <c r="AY34" i="16"/>
  <c r="AY33" i="16"/>
  <c r="BA71" i="18"/>
  <c r="AZ82" i="18"/>
  <c r="BB23" i="16" s="1"/>
  <c r="AZ29" i="16"/>
  <c r="BC86" i="18"/>
  <c r="BE27" i="16" s="1"/>
  <c r="AZ68" i="18"/>
  <c r="AY79" i="18"/>
  <c r="BA20" i="16" s="1"/>
  <c r="BH21" i="18"/>
  <c r="BG60" i="18"/>
  <c r="BG22" i="16"/>
  <c r="BE14" i="18"/>
  <c r="BD53" i="18"/>
  <c r="BF24" i="18"/>
  <c r="BE63" i="18"/>
  <c r="BE22" i="18"/>
  <c r="BD61" i="18"/>
  <c r="BG15" i="18"/>
  <c r="BF54" i="18"/>
  <c r="BF7" i="18"/>
  <c r="BE46" i="18"/>
  <c r="BE8" i="18"/>
  <c r="BD47" i="18"/>
  <c r="BF21" i="16" s="1"/>
  <c r="BF26" i="18"/>
  <c r="BE65" i="18"/>
  <c r="BF57" i="18"/>
  <c r="BG18" i="18"/>
  <c r="BG9" i="18"/>
  <c r="BF48" i="18"/>
  <c r="BF25" i="18"/>
  <c r="BE64" i="18"/>
  <c r="BH19" i="18"/>
  <c r="BG58" i="18"/>
  <c r="BD52" i="18"/>
  <c r="BF26" i="16" s="1"/>
  <c r="BE13" i="18"/>
  <c r="BG20" i="18"/>
  <c r="BF59" i="18"/>
  <c r="BF23" i="18"/>
  <c r="BE62" i="18"/>
  <c r="BG25" i="16" s="1"/>
  <c r="BK12" i="18"/>
  <c r="BJ51" i="18"/>
  <c r="BE11" i="18"/>
  <c r="BD50" i="18"/>
  <c r="BD10" i="18"/>
  <c r="BC49" i="18"/>
  <c r="AW73" i="16"/>
  <c r="AW77" i="16" s="1"/>
  <c r="AN73" i="16"/>
  <c r="AN77" i="16" s="1"/>
  <c r="AF73" i="16"/>
  <c r="AF77" i="16" s="1"/>
  <c r="X73" i="16"/>
  <c r="X77" i="16" s="1"/>
  <c r="P73" i="16"/>
  <c r="P77" i="16" s="1"/>
  <c r="Y73" i="16"/>
  <c r="Y77" i="16" s="1"/>
  <c r="AU73" i="16"/>
  <c r="AU77" i="16" s="1"/>
  <c r="AM73" i="16"/>
  <c r="AM77" i="16" s="1"/>
  <c r="AE73" i="16"/>
  <c r="AE77" i="16" s="1"/>
  <c r="W73" i="16"/>
  <c r="W77" i="16" s="1"/>
  <c r="O73" i="16"/>
  <c r="O77" i="16" s="1"/>
  <c r="Q73" i="16"/>
  <c r="Q77" i="16" s="1"/>
  <c r="AT73" i="16"/>
  <c r="AT77" i="16" s="1"/>
  <c r="AL73" i="16"/>
  <c r="AL77" i="16" s="1"/>
  <c r="AD73" i="16"/>
  <c r="AD77" i="16" s="1"/>
  <c r="V73" i="16"/>
  <c r="V77" i="16" s="1"/>
  <c r="N73" i="16"/>
  <c r="N77" i="16" s="1"/>
  <c r="AO73" i="16"/>
  <c r="AO77" i="16" s="1"/>
  <c r="AS73" i="16"/>
  <c r="AS77" i="16" s="1"/>
  <c r="AK73" i="16"/>
  <c r="AK77" i="16" s="1"/>
  <c r="AC73" i="16"/>
  <c r="AC77" i="16" s="1"/>
  <c r="U73" i="16"/>
  <c r="U77" i="16" s="1"/>
  <c r="AG73" i="16"/>
  <c r="AG77" i="16" s="1"/>
  <c r="AV73" i="16"/>
  <c r="AV77" i="16" s="1"/>
  <c r="AJ73" i="16"/>
  <c r="AJ77" i="16" s="1"/>
  <c r="T73" i="16"/>
  <c r="T77" i="16" s="1"/>
  <c r="AQ73" i="16"/>
  <c r="AQ77" i="16" s="1"/>
  <c r="AI73" i="16"/>
  <c r="AI77" i="16" s="1"/>
  <c r="AA73" i="16"/>
  <c r="AA77" i="16" s="1"/>
  <c r="S73" i="16"/>
  <c r="S77" i="16" s="1"/>
  <c r="AR73" i="16"/>
  <c r="AR77" i="16" s="1"/>
  <c r="AB73" i="16"/>
  <c r="AB77" i="16" s="1"/>
  <c r="AP73" i="16"/>
  <c r="AP77" i="16" s="1"/>
  <c r="AH73" i="16"/>
  <c r="AH77" i="16" s="1"/>
  <c r="Z73" i="16"/>
  <c r="Z77" i="16" s="1"/>
  <c r="R73" i="16"/>
  <c r="R77" i="16" s="1"/>
  <c r="BH94" i="13" l="1"/>
  <c r="BI88" i="16"/>
  <c r="BA29" i="16"/>
  <c r="BA34" i="16" s="1"/>
  <c r="BA68" i="18"/>
  <c r="AZ79" i="18"/>
  <c r="BB20" i="16" s="1"/>
  <c r="AY35" i="16"/>
  <c r="AY37" i="16" s="1"/>
  <c r="AY94" i="16" s="1"/>
  <c r="BE87" i="18"/>
  <c r="BG28" i="16" s="1"/>
  <c r="BB71" i="18"/>
  <c r="BA82" i="18"/>
  <c r="BC23" i="16" s="1"/>
  <c r="BA72" i="18"/>
  <c r="AZ83" i="18"/>
  <c r="BB24" i="16" s="1"/>
  <c r="BD86" i="18"/>
  <c r="BF27" i="16" s="1"/>
  <c r="AZ34" i="16"/>
  <c r="AZ33" i="16"/>
  <c r="AZ32" i="16"/>
  <c r="BH60" i="18"/>
  <c r="BI21" i="18"/>
  <c r="BG23" i="18"/>
  <c r="BF62" i="18"/>
  <c r="BH25" i="16" s="1"/>
  <c r="BI19" i="18"/>
  <c r="BH58" i="18"/>
  <c r="BG26" i="18"/>
  <c r="BF65" i="18"/>
  <c r="BF22" i="18"/>
  <c r="BE61" i="18"/>
  <c r="BH15" i="18"/>
  <c r="BG54" i="18"/>
  <c r="BG26" i="16"/>
  <c r="BG25" i="18"/>
  <c r="BF64" i="18"/>
  <c r="BF8" i="18"/>
  <c r="BE47" i="18"/>
  <c r="BG21" i="16" s="1"/>
  <c r="BG24" i="18"/>
  <c r="BF63" i="18"/>
  <c r="BH22" i="16"/>
  <c r="BH20" i="18"/>
  <c r="BG59" i="18"/>
  <c r="BH9" i="18"/>
  <c r="BG48" i="18"/>
  <c r="BG7" i="18"/>
  <c r="BF46" i="18"/>
  <c r="BF14" i="18"/>
  <c r="BE53" i="18"/>
  <c r="BL12" i="18"/>
  <c r="BK51" i="18"/>
  <c r="BF13" i="18"/>
  <c r="BE52" i="18"/>
  <c r="BH18" i="18"/>
  <c r="BG57" i="18"/>
  <c r="BF11" i="18"/>
  <c r="BE50" i="18"/>
  <c r="BE10" i="18"/>
  <c r="BD49" i="18"/>
  <c r="M73" i="16"/>
  <c r="M77" i="16" s="1"/>
  <c r="BA33" i="16" l="1"/>
  <c r="BA32" i="16"/>
  <c r="BI94" i="13"/>
  <c r="BJ88" i="16"/>
  <c r="BA35" i="16"/>
  <c r="BA37" i="16" s="1"/>
  <c r="BA94" i="16" s="1"/>
  <c r="BA113" i="16" s="1"/>
  <c r="BB29" i="16"/>
  <c r="BB34" i="16" s="1"/>
  <c r="AZ35" i="16"/>
  <c r="AZ37" i="16" s="1"/>
  <c r="AZ94" i="16" s="1"/>
  <c r="BC71" i="18"/>
  <c r="BB82" i="18"/>
  <c r="BD23" i="16" s="1"/>
  <c r="BE86" i="18"/>
  <c r="BG27" i="16" s="1"/>
  <c r="AY113" i="16"/>
  <c r="BB68" i="18"/>
  <c r="BA79" i="18"/>
  <c r="BC20" i="16" s="1"/>
  <c r="BB72" i="18"/>
  <c r="BA83" i="18"/>
  <c r="BC24" i="16" s="1"/>
  <c r="BF87" i="18"/>
  <c r="BH28" i="16" s="1"/>
  <c r="BJ21" i="18"/>
  <c r="BI60" i="18"/>
  <c r="BM12" i="18"/>
  <c r="BL51" i="18"/>
  <c r="BI20" i="18"/>
  <c r="BH59" i="18"/>
  <c r="BH25" i="18"/>
  <c r="BG64" i="18"/>
  <c r="BG22" i="18"/>
  <c r="BF61" i="18"/>
  <c r="BG14" i="18"/>
  <c r="BF53" i="18"/>
  <c r="BH26" i="18"/>
  <c r="BG65" i="18"/>
  <c r="BG87" i="18" s="1"/>
  <c r="BJ19" i="18"/>
  <c r="BI58" i="18"/>
  <c r="BI18" i="18"/>
  <c r="BH57" i="18"/>
  <c r="BH7" i="18"/>
  <c r="BG46" i="18"/>
  <c r="BI22" i="16"/>
  <c r="BH24" i="18"/>
  <c r="BG63" i="18"/>
  <c r="BG13" i="18"/>
  <c r="BF52" i="18"/>
  <c r="BH26" i="16" s="1"/>
  <c r="BI9" i="18"/>
  <c r="BH48" i="18"/>
  <c r="BG8" i="18"/>
  <c r="BF47" i="18"/>
  <c r="BH21" i="16" s="1"/>
  <c r="BI15" i="18"/>
  <c r="BH54" i="18"/>
  <c r="BH23" i="18"/>
  <c r="BG62" i="18"/>
  <c r="BI25" i="16" s="1"/>
  <c r="BG11" i="18"/>
  <c r="BF50" i="18"/>
  <c r="BF10" i="18"/>
  <c r="BE49" i="18"/>
  <c r="N95" i="16"/>
  <c r="BB32" i="16" l="1"/>
  <c r="BB33" i="16"/>
  <c r="BB35" i="16" s="1"/>
  <c r="BB37" i="16" s="1"/>
  <c r="BB94" i="16" s="1"/>
  <c r="BJ94" i="13"/>
  <c r="BK88" i="16"/>
  <c r="BF86" i="18"/>
  <c r="BH27" i="16" s="1"/>
  <c r="BD71" i="18"/>
  <c r="BC82" i="18"/>
  <c r="BE23" i="16" s="1"/>
  <c r="BC68" i="18"/>
  <c r="BB79" i="18"/>
  <c r="BD20" i="16" s="1"/>
  <c r="AZ113" i="16"/>
  <c r="BC72" i="18"/>
  <c r="BB83" i="18"/>
  <c r="BD24" i="16" s="1"/>
  <c r="BI28" i="16"/>
  <c r="BC29" i="16"/>
  <c r="BK21" i="18"/>
  <c r="BJ60" i="18"/>
  <c r="BJ22" i="16"/>
  <c r="BJ18" i="18"/>
  <c r="BI57" i="18"/>
  <c r="BH8" i="18"/>
  <c r="BG47" i="18"/>
  <c r="BI21" i="16" s="1"/>
  <c r="BK19" i="18"/>
  <c r="BJ58" i="18"/>
  <c r="BH64" i="18"/>
  <c r="BI25" i="18"/>
  <c r="BI24" i="18"/>
  <c r="BH63" i="18"/>
  <c r="BJ9" i="18"/>
  <c r="BI48" i="18"/>
  <c r="BK22" i="16" s="1"/>
  <c r="BI26" i="18"/>
  <c r="BH65" i="18"/>
  <c r="BH87" i="18" s="1"/>
  <c r="BJ28" i="16" s="1"/>
  <c r="BJ20" i="18"/>
  <c r="BI59" i="18"/>
  <c r="BH22" i="18"/>
  <c r="BG61" i="18"/>
  <c r="BJ15" i="18"/>
  <c r="BI54" i="18"/>
  <c r="BN12" i="18"/>
  <c r="BM51" i="18"/>
  <c r="BI23" i="18"/>
  <c r="BH62" i="18"/>
  <c r="BJ25" i="16" s="1"/>
  <c r="BH13" i="18"/>
  <c r="BG52" i="18"/>
  <c r="BI26" i="16" s="1"/>
  <c r="BI7" i="18"/>
  <c r="BH46" i="18"/>
  <c r="BH14" i="18"/>
  <c r="BG53" i="18"/>
  <c r="BH11" i="18"/>
  <c r="BG50" i="18"/>
  <c r="BG10" i="18"/>
  <c r="BF49" i="18"/>
  <c r="N96" i="16"/>
  <c r="M95" i="16"/>
  <c r="N132" i="16" l="1"/>
  <c r="O10" i="31"/>
  <c r="O34" i="31" s="1"/>
  <c r="O37" i="31" s="1"/>
  <c r="BD29" i="16"/>
  <c r="BD32" i="16" s="1"/>
  <c r="BK94" i="13"/>
  <c r="BL88" i="16"/>
  <c r="BB113" i="16"/>
  <c r="BD72" i="18"/>
  <c r="BC83" i="18"/>
  <c r="BE24" i="16" s="1"/>
  <c r="BD68" i="18"/>
  <c r="BC79" i="18"/>
  <c r="BE20" i="16" s="1"/>
  <c r="BC34" i="16"/>
  <c r="BC33" i="16"/>
  <c r="BC32" i="16"/>
  <c r="BE71" i="18"/>
  <c r="BD82" i="18"/>
  <c r="BF23" i="16" s="1"/>
  <c r="BG86" i="18"/>
  <c r="BI27" i="16" s="1"/>
  <c r="BL21" i="18"/>
  <c r="BK60" i="18"/>
  <c r="BJ7" i="18"/>
  <c r="BI46" i="18"/>
  <c r="BI13" i="18"/>
  <c r="BH52" i="18"/>
  <c r="BJ26" i="16" s="1"/>
  <c r="BL19" i="18"/>
  <c r="BK58" i="18"/>
  <c r="BI22" i="18"/>
  <c r="BH61" i="18"/>
  <c r="BK9" i="18"/>
  <c r="BJ48" i="18"/>
  <c r="BJ23" i="18"/>
  <c r="BI62" i="18"/>
  <c r="BK25" i="16" s="1"/>
  <c r="BI8" i="18"/>
  <c r="BH47" i="18"/>
  <c r="BJ21" i="16" s="1"/>
  <c r="BK20" i="18"/>
  <c r="BJ59" i="18"/>
  <c r="BI14" i="18"/>
  <c r="BH53" i="18"/>
  <c r="BO12" i="18"/>
  <c r="BN51" i="18"/>
  <c r="BJ24" i="18"/>
  <c r="BI63" i="18"/>
  <c r="BK15" i="18"/>
  <c r="BJ54" i="18"/>
  <c r="BJ26" i="18"/>
  <c r="BI65" i="18"/>
  <c r="BI64" i="18"/>
  <c r="BJ25" i="18"/>
  <c r="BK18" i="18"/>
  <c r="BJ57" i="18"/>
  <c r="BI11" i="18"/>
  <c r="BH50" i="18"/>
  <c r="BH10" i="18"/>
  <c r="BG49" i="18"/>
  <c r="N117" i="16"/>
  <c r="M96" i="16"/>
  <c r="BD34" i="16" l="1"/>
  <c r="BD33" i="16"/>
  <c r="M132" i="16"/>
  <c r="N10" i="31"/>
  <c r="N34" i="31" s="1"/>
  <c r="N37" i="31" s="1"/>
  <c r="BD35" i="16"/>
  <c r="BD37" i="16" s="1"/>
  <c r="BD94" i="16" s="1"/>
  <c r="BD113" i="16" s="1"/>
  <c r="BL94" i="13"/>
  <c r="BM88" i="16"/>
  <c r="BC35" i="16"/>
  <c r="BC37" i="16" s="1"/>
  <c r="BC94" i="16" s="1"/>
  <c r="BH86" i="18"/>
  <c r="BJ27" i="16" s="1"/>
  <c r="BE29" i="16"/>
  <c r="BE68" i="18"/>
  <c r="BD79" i="18"/>
  <c r="BF20" i="16" s="1"/>
  <c r="BE72" i="18"/>
  <c r="BD83" i="18"/>
  <c r="BF24" i="16" s="1"/>
  <c r="BF71" i="18"/>
  <c r="BE82" i="18"/>
  <c r="BG23" i="16" s="1"/>
  <c r="BI87" i="18"/>
  <c r="BK28" i="16" s="1"/>
  <c r="BM21" i="18"/>
  <c r="BL60" i="18"/>
  <c r="BP12" i="18"/>
  <c r="BO51" i="18"/>
  <c r="BM19" i="18"/>
  <c r="BL58" i="18"/>
  <c r="BK26" i="18"/>
  <c r="BJ65" i="18"/>
  <c r="BJ87" i="18" s="1"/>
  <c r="BK23" i="18"/>
  <c r="BJ62" i="18"/>
  <c r="BL25" i="16" s="1"/>
  <c r="BJ14" i="18"/>
  <c r="BI53" i="18"/>
  <c r="BJ13" i="18"/>
  <c r="BI52" i="18"/>
  <c r="BK26" i="16" s="1"/>
  <c r="BL22" i="16"/>
  <c r="BL15" i="18"/>
  <c r="BK54" i="18"/>
  <c r="BL20" i="18"/>
  <c r="BK59" i="18"/>
  <c r="BL9" i="18"/>
  <c r="BK48" i="18"/>
  <c r="BK7" i="18"/>
  <c r="BJ46" i="18"/>
  <c r="BJ8" i="18"/>
  <c r="BI47" i="18"/>
  <c r="BK21" i="16" s="1"/>
  <c r="BL18" i="18"/>
  <c r="BK57" i="18"/>
  <c r="BK25" i="18"/>
  <c r="BJ64" i="18"/>
  <c r="BK24" i="18"/>
  <c r="BJ63" i="18"/>
  <c r="BJ22" i="18"/>
  <c r="BI61" i="18"/>
  <c r="BJ11" i="18"/>
  <c r="BI50" i="18"/>
  <c r="BI10" i="18"/>
  <c r="BH49" i="18"/>
  <c r="M117" i="16"/>
  <c r="BC113" i="16" l="1"/>
  <c r="BM94" i="13"/>
  <c r="BN88" i="16"/>
  <c r="BF29" i="16"/>
  <c r="BF32" i="16" s="1"/>
  <c r="BG71" i="18"/>
  <c r="BF82" i="18"/>
  <c r="BH23" i="16" s="1"/>
  <c r="BI86" i="18"/>
  <c r="BK27" i="16" s="1"/>
  <c r="BF72" i="18"/>
  <c r="BE83" i="18"/>
  <c r="BG24" i="16" s="1"/>
  <c r="BE33" i="16"/>
  <c r="BE32" i="16"/>
  <c r="BE34" i="16"/>
  <c r="BF68" i="18"/>
  <c r="BE79" i="18"/>
  <c r="BG20" i="16" s="1"/>
  <c r="BL28" i="16"/>
  <c r="BM22" i="16"/>
  <c r="BN21" i="18"/>
  <c r="BM60" i="18"/>
  <c r="BL23" i="18"/>
  <c r="BK62" i="18"/>
  <c r="BM25" i="16" s="1"/>
  <c r="BL24" i="18"/>
  <c r="BK63" i="18"/>
  <c r="BL7" i="18"/>
  <c r="BK46" i="18"/>
  <c r="BL26" i="18"/>
  <c r="BK65" i="18"/>
  <c r="BK87" i="18" s="1"/>
  <c r="BL25" i="18"/>
  <c r="BK64" i="18"/>
  <c r="BM9" i="18"/>
  <c r="BL48" i="18"/>
  <c r="BK13" i="18"/>
  <c r="BJ52" i="18"/>
  <c r="BL26" i="16" s="1"/>
  <c r="BN19" i="18"/>
  <c r="BM58" i="18"/>
  <c r="BK14" i="18"/>
  <c r="BJ53" i="18"/>
  <c r="BM18" i="18"/>
  <c r="BL57" i="18"/>
  <c r="BM20" i="18"/>
  <c r="BL59" i="18"/>
  <c r="BK22" i="18"/>
  <c r="BJ61" i="18"/>
  <c r="BK8" i="18"/>
  <c r="BJ47" i="18"/>
  <c r="BL21" i="16" s="1"/>
  <c r="BM15" i="18"/>
  <c r="BL54" i="18"/>
  <c r="BQ12" i="18"/>
  <c r="BP51" i="18"/>
  <c r="BK11" i="18"/>
  <c r="BJ50" i="18"/>
  <c r="BJ10" i="18"/>
  <c r="BI49" i="18"/>
  <c r="BF34" i="16" l="1"/>
  <c r="BF33" i="16"/>
  <c r="BF35" i="16"/>
  <c r="BF37" i="16" s="1"/>
  <c r="BF94" i="16" s="1"/>
  <c r="BF113" i="16" s="1"/>
  <c r="BN94" i="13"/>
  <c r="BO88" i="16"/>
  <c r="BG72" i="18"/>
  <c r="BF83" i="18"/>
  <c r="BH24" i="16" s="1"/>
  <c r="BG68" i="18"/>
  <c r="BF79" i="18"/>
  <c r="BH20" i="16" s="1"/>
  <c r="BJ86" i="18"/>
  <c r="BL27" i="16" s="1"/>
  <c r="BM28" i="16"/>
  <c r="BH71" i="18"/>
  <c r="BG82" i="18"/>
  <c r="BI23" i="16" s="1"/>
  <c r="BE35" i="16"/>
  <c r="BE37" i="16" s="1"/>
  <c r="BE94" i="16" s="1"/>
  <c r="BG29" i="16"/>
  <c r="BN22" i="16"/>
  <c r="BO21" i="18"/>
  <c r="BN60" i="18"/>
  <c r="BM26" i="18"/>
  <c r="BL65" i="18"/>
  <c r="BL87" i="18" s="1"/>
  <c r="BR12" i="18"/>
  <c r="BQ51" i="18"/>
  <c r="BN15" i="18"/>
  <c r="BM54" i="18"/>
  <c r="BN9" i="18"/>
  <c r="BM48" i="18"/>
  <c r="BM24" i="18"/>
  <c r="BL63" i="18"/>
  <c r="BM7" i="18"/>
  <c r="BL46" i="18"/>
  <c r="BL22" i="18"/>
  <c r="BK61" i="18"/>
  <c r="BN20" i="18"/>
  <c r="BM59" i="18"/>
  <c r="BO19" i="18"/>
  <c r="BN58" i="18"/>
  <c r="BM57" i="18"/>
  <c r="BN18" i="18"/>
  <c r="BL13" i="18"/>
  <c r="BK52" i="18"/>
  <c r="BM26" i="16" s="1"/>
  <c r="BL8" i="18"/>
  <c r="BK47" i="18"/>
  <c r="BM21" i="16" s="1"/>
  <c r="BL14" i="18"/>
  <c r="BK53" i="18"/>
  <c r="BM25" i="18"/>
  <c r="BL64" i="18"/>
  <c r="BM23" i="18"/>
  <c r="BL62" i="18"/>
  <c r="BN25" i="16" s="1"/>
  <c r="BL11" i="18"/>
  <c r="BK50" i="18"/>
  <c r="BK10" i="18"/>
  <c r="BJ49" i="18"/>
  <c r="BO94" i="13" l="1"/>
  <c r="BP88" i="16"/>
  <c r="BH29" i="16"/>
  <c r="BH34" i="16" s="1"/>
  <c r="BK86" i="18"/>
  <c r="BM27" i="16" s="1"/>
  <c r="BE113" i="16"/>
  <c r="BH72" i="18"/>
  <c r="BG83" i="18"/>
  <c r="BI24" i="16" s="1"/>
  <c r="BH68" i="18"/>
  <c r="BG79" i="18"/>
  <c r="BI20" i="16" s="1"/>
  <c r="BN28" i="16"/>
  <c r="BI71" i="18"/>
  <c r="BH82" i="18"/>
  <c r="BJ23" i="16" s="1"/>
  <c r="BG34" i="16"/>
  <c r="BG33" i="16"/>
  <c r="BG32" i="16"/>
  <c r="BO60" i="18"/>
  <c r="BP21" i="18"/>
  <c r="BO15" i="18"/>
  <c r="BN54" i="18"/>
  <c r="BO18" i="18"/>
  <c r="BN57" i="18"/>
  <c r="BN25" i="18"/>
  <c r="BM64" i="18"/>
  <c r="BM22" i="18"/>
  <c r="BL61" i="18"/>
  <c r="BS12" i="18"/>
  <c r="BR51" i="18"/>
  <c r="BL52" i="18"/>
  <c r="BN26" i="16" s="1"/>
  <c r="BM13" i="18"/>
  <c r="BM14" i="18"/>
  <c r="BL53" i="18"/>
  <c r="BN7" i="18"/>
  <c r="BM46" i="18"/>
  <c r="BP19" i="18"/>
  <c r="BO58" i="18"/>
  <c r="BN24" i="18"/>
  <c r="BM63" i="18"/>
  <c r="BO22" i="16"/>
  <c r="BN23" i="18"/>
  <c r="BM62" i="18"/>
  <c r="BO25" i="16" s="1"/>
  <c r="BM8" i="18"/>
  <c r="BL47" i="18"/>
  <c r="BN21" i="16" s="1"/>
  <c r="BO20" i="18"/>
  <c r="BN59" i="18"/>
  <c r="BO9" i="18"/>
  <c r="BN48" i="18"/>
  <c r="BN26" i="18"/>
  <c r="BM65" i="18"/>
  <c r="BM87" i="18" s="1"/>
  <c r="BM11" i="18"/>
  <c r="BL50" i="18"/>
  <c r="BL10" i="18"/>
  <c r="BK49" i="18"/>
  <c r="O16" i="16"/>
  <c r="D16" i="16" s="1"/>
  <c r="C8" i="26"/>
  <c r="E168" i="28" s="1"/>
  <c r="O23" i="16"/>
  <c r="E169" i="28" l="1"/>
  <c r="E170" i="28" s="1"/>
  <c r="M19" i="26"/>
  <c r="M21" i="26" s="1"/>
  <c r="BH32" i="16"/>
  <c r="BH33" i="16"/>
  <c r="BI29" i="16"/>
  <c r="BI32" i="16" s="1"/>
  <c r="BP94" i="13"/>
  <c r="BQ88" i="16"/>
  <c r="BJ71" i="18"/>
  <c r="BI82" i="18"/>
  <c r="BK23" i="16" s="1"/>
  <c r="BI68" i="18"/>
  <c r="BH79" i="18"/>
  <c r="BJ20" i="16" s="1"/>
  <c r="BI72" i="18"/>
  <c r="BH83" i="18"/>
  <c r="BJ24" i="16" s="1"/>
  <c r="BO28" i="16"/>
  <c r="BL86" i="18"/>
  <c r="BN27" i="16" s="1"/>
  <c r="BG35" i="16"/>
  <c r="BG37" i="16" s="1"/>
  <c r="BG94" i="16" s="1"/>
  <c r="CD17" i="16"/>
  <c r="CB106" i="16" s="1"/>
  <c r="CB107" i="16" s="1"/>
  <c r="BT17" i="16"/>
  <c r="BR106" i="16" s="1"/>
  <c r="BR107" i="16" s="1"/>
  <c r="BM17" i="16"/>
  <c r="BK106" i="16" s="1"/>
  <c r="BK107" i="16" s="1"/>
  <c r="BV17" i="16"/>
  <c r="BT106" i="16" s="1"/>
  <c r="BT107" i="16" s="1"/>
  <c r="BG17" i="16"/>
  <c r="BE106" i="16" s="1"/>
  <c r="BE107" i="16" s="1"/>
  <c r="BI17" i="16"/>
  <c r="BG106" i="16" s="1"/>
  <c r="BG107" i="16" s="1"/>
  <c r="BE17" i="16"/>
  <c r="BC106" i="16" s="1"/>
  <c r="BC107" i="16" s="1"/>
  <c r="BN17" i="16"/>
  <c r="BL106" i="16" s="1"/>
  <c r="BL107" i="16" s="1"/>
  <c r="CJ17" i="16"/>
  <c r="CH106" i="16" s="1"/>
  <c r="CH107" i="16" s="1"/>
  <c r="BX17" i="16"/>
  <c r="BV106" i="16" s="1"/>
  <c r="BV107" i="16" s="1"/>
  <c r="CK17" i="16"/>
  <c r="CI106" i="16" s="1"/>
  <c r="CI107" i="16" s="1"/>
  <c r="BD17" i="16"/>
  <c r="BB106" i="16" s="1"/>
  <c r="BB107" i="16" s="1"/>
  <c r="CE17" i="16"/>
  <c r="CC106" i="16" s="1"/>
  <c r="CC107" i="16" s="1"/>
  <c r="BJ17" i="16"/>
  <c r="BH106" i="16" s="1"/>
  <c r="BH107" i="16" s="1"/>
  <c r="BQ17" i="16"/>
  <c r="BO106" i="16" s="1"/>
  <c r="BO107" i="16" s="1"/>
  <c r="CH17" i="16"/>
  <c r="CF106" i="16" s="1"/>
  <c r="CF107" i="16" s="1"/>
  <c r="BK17" i="16"/>
  <c r="BI106" i="16" s="1"/>
  <c r="BI107" i="16" s="1"/>
  <c r="BF17" i="16"/>
  <c r="BD106" i="16" s="1"/>
  <c r="BD107" i="16" s="1"/>
  <c r="BL17" i="16"/>
  <c r="BJ106" i="16" s="1"/>
  <c r="BJ107" i="16" s="1"/>
  <c r="BO17" i="16"/>
  <c r="BM106" i="16" s="1"/>
  <c r="BM107" i="16" s="1"/>
  <c r="BH17" i="16"/>
  <c r="BF106" i="16" s="1"/>
  <c r="BF107" i="16" s="1"/>
  <c r="BU17" i="16"/>
  <c r="BS106" i="16" s="1"/>
  <c r="BS107" i="16" s="1"/>
  <c r="BP17" i="16"/>
  <c r="BN106" i="16" s="1"/>
  <c r="BN107" i="16" s="1"/>
  <c r="CC17" i="16"/>
  <c r="CA106" i="16" s="1"/>
  <c r="CA107" i="16" s="1"/>
  <c r="CG17" i="16"/>
  <c r="CE106" i="16" s="1"/>
  <c r="CE107" i="16" s="1"/>
  <c r="CA17" i="16"/>
  <c r="BY106" i="16" s="1"/>
  <c r="BY107" i="16" s="1"/>
  <c r="BZ17" i="16"/>
  <c r="BX106" i="16" s="1"/>
  <c r="BX107" i="16" s="1"/>
  <c r="BS17" i="16"/>
  <c r="BQ106" i="16" s="1"/>
  <c r="BQ107" i="16" s="1"/>
  <c r="CB17" i="16"/>
  <c r="BZ106" i="16" s="1"/>
  <c r="BZ107" i="16" s="1"/>
  <c r="CF17" i="16"/>
  <c r="CD106" i="16" s="1"/>
  <c r="CD107" i="16" s="1"/>
  <c r="CI17" i="16"/>
  <c r="CG106" i="16" s="1"/>
  <c r="CG107" i="16" s="1"/>
  <c r="BR17" i="16"/>
  <c r="BP106" i="16" s="1"/>
  <c r="BP107" i="16" s="1"/>
  <c r="BY17" i="16"/>
  <c r="BW106" i="16" s="1"/>
  <c r="BW107" i="16" s="1"/>
  <c r="BW17" i="16"/>
  <c r="BU106" i="16" s="1"/>
  <c r="BU107" i="16" s="1"/>
  <c r="BP60" i="18"/>
  <c r="BQ21" i="18"/>
  <c r="BO25" i="18"/>
  <c r="BN64" i="18"/>
  <c r="BN22" i="18"/>
  <c r="BM61" i="18"/>
  <c r="BO23" i="18"/>
  <c r="BN62" i="18"/>
  <c r="BP25" i="16" s="1"/>
  <c r="BP18" i="18"/>
  <c r="BO57" i="18"/>
  <c r="BN14" i="18"/>
  <c r="BM53" i="18"/>
  <c r="BO7" i="18"/>
  <c r="BN46" i="18"/>
  <c r="BO24" i="18"/>
  <c r="BN63" i="18"/>
  <c r="BP20" i="18"/>
  <c r="BO59" i="18"/>
  <c r="BQ19" i="18"/>
  <c r="BP58" i="18"/>
  <c r="BM47" i="18"/>
  <c r="BO21" i="16" s="1"/>
  <c r="BN8" i="18"/>
  <c r="BN13" i="18"/>
  <c r="BM52" i="18"/>
  <c r="BO26" i="16" s="1"/>
  <c r="BO26" i="18"/>
  <c r="BN65" i="18"/>
  <c r="BN87" i="18" s="1"/>
  <c r="BP22" i="16"/>
  <c r="BP9" i="18"/>
  <c r="BO48" i="18"/>
  <c r="BT12" i="18"/>
  <c r="BS51" i="18"/>
  <c r="BP15" i="18"/>
  <c r="BO54" i="18"/>
  <c r="BN11" i="18"/>
  <c r="BM50" i="18"/>
  <c r="BM10" i="18"/>
  <c r="BL49" i="18"/>
  <c r="J17" i="16"/>
  <c r="I17" i="16"/>
  <c r="H17" i="16"/>
  <c r="M17" i="16"/>
  <c r="K17" i="16"/>
  <c r="O29" i="16"/>
  <c r="AM17" i="16"/>
  <c r="AK106" i="16" s="1"/>
  <c r="AK107" i="16" s="1"/>
  <c r="AJ17" i="16"/>
  <c r="AH106" i="16" s="1"/>
  <c r="AH107" i="16" s="1"/>
  <c r="AK17" i="16"/>
  <c r="AI106" i="16" s="1"/>
  <c r="AI107" i="16" s="1"/>
  <c r="BA17" i="16"/>
  <c r="AY106" i="16" s="1"/>
  <c r="AY107" i="16" s="1"/>
  <c r="AH17" i="16"/>
  <c r="AF106" i="16" s="1"/>
  <c r="AF107" i="16" s="1"/>
  <c r="AF17" i="16"/>
  <c r="AD106" i="16" s="1"/>
  <c r="AD107" i="16" s="1"/>
  <c r="V17" i="16"/>
  <c r="T106" i="16" s="1"/>
  <c r="T107" i="16" s="1"/>
  <c r="AP17" i="16"/>
  <c r="AN106" i="16" s="1"/>
  <c r="AN107" i="16" s="1"/>
  <c r="Y17" i="16"/>
  <c r="W106" i="16" s="1"/>
  <c r="W107" i="16" s="1"/>
  <c r="AO17" i="16"/>
  <c r="AM106" i="16" s="1"/>
  <c r="AM107" i="16" s="1"/>
  <c r="T17" i="16"/>
  <c r="R106" i="16" s="1"/>
  <c r="R107" i="16" s="1"/>
  <c r="AZ17" i="16"/>
  <c r="AX106" i="16" s="1"/>
  <c r="AX107" i="16" s="1"/>
  <c r="BC17" i="16"/>
  <c r="BA106" i="16" s="1"/>
  <c r="BA107" i="16" s="1"/>
  <c r="AE17" i="16"/>
  <c r="AC106" i="16" s="1"/>
  <c r="AC107" i="16" s="1"/>
  <c r="AV17" i="16"/>
  <c r="AT106" i="16" s="1"/>
  <c r="AT107" i="16" s="1"/>
  <c r="AY17" i="16"/>
  <c r="AW106" i="16" s="1"/>
  <c r="AW107" i="16" s="1"/>
  <c r="AT17" i="16"/>
  <c r="AR106" i="16" s="1"/>
  <c r="AR107" i="16" s="1"/>
  <c r="AD17" i="16"/>
  <c r="AB106" i="16" s="1"/>
  <c r="AB107" i="16" s="1"/>
  <c r="R17" i="16"/>
  <c r="P106" i="16" s="1"/>
  <c r="AR17" i="16"/>
  <c r="AP106" i="16" s="1"/>
  <c r="AP107" i="16" s="1"/>
  <c r="AN17" i="16"/>
  <c r="AL106" i="16" s="1"/>
  <c r="AL107" i="16" s="1"/>
  <c r="G17" i="16"/>
  <c r="AW17" i="16"/>
  <c r="AU106" i="16" s="1"/>
  <c r="AU107" i="16" s="1"/>
  <c r="W17" i="16"/>
  <c r="U106" i="16" s="1"/>
  <c r="U107" i="16" s="1"/>
  <c r="S17" i="16"/>
  <c r="Q106" i="16" s="1"/>
  <c r="Q107" i="16" s="1"/>
  <c r="Q17" i="16"/>
  <c r="U17" i="16"/>
  <c r="S106" i="16" s="1"/>
  <c r="S107" i="16" s="1"/>
  <c r="AC17" i="16"/>
  <c r="AA106" i="16" s="1"/>
  <c r="AA107" i="16" s="1"/>
  <c r="AI17" i="16"/>
  <c r="AG106" i="16" s="1"/>
  <c r="AG107" i="16" s="1"/>
  <c r="AA17" i="16"/>
  <c r="Y106" i="16" s="1"/>
  <c r="Y107" i="16" s="1"/>
  <c r="AG17" i="16"/>
  <c r="AE106" i="16" s="1"/>
  <c r="AE107" i="16" s="1"/>
  <c r="AQ17" i="16"/>
  <c r="AO106" i="16" s="1"/>
  <c r="AO107" i="16" s="1"/>
  <c r="AB17" i="16"/>
  <c r="Z106" i="16" s="1"/>
  <c r="Z107" i="16" s="1"/>
  <c r="AL17" i="16"/>
  <c r="AJ106" i="16" s="1"/>
  <c r="AJ107" i="16" s="1"/>
  <c r="Z17" i="16"/>
  <c r="X106" i="16" s="1"/>
  <c r="X107" i="16" s="1"/>
  <c r="AS17" i="16"/>
  <c r="AQ106" i="16" s="1"/>
  <c r="AQ107" i="16" s="1"/>
  <c r="AX17" i="16"/>
  <c r="AV106" i="16" s="1"/>
  <c r="AV107" i="16" s="1"/>
  <c r="X17" i="16"/>
  <c r="V106" i="16" s="1"/>
  <c r="V107" i="16" s="1"/>
  <c r="BB17" i="16"/>
  <c r="AZ106" i="16" s="1"/>
  <c r="AZ107" i="16" s="1"/>
  <c r="AU17" i="16"/>
  <c r="AS106" i="16" s="1"/>
  <c r="AS107" i="16" s="1"/>
  <c r="F17" i="16"/>
  <c r="O17" i="16"/>
  <c r="L17" i="16"/>
  <c r="M31" i="26"/>
  <c r="G25" i="26" s="1"/>
  <c r="M8" i="26"/>
  <c r="C10" i="26"/>
  <c r="F169" i="28" s="1"/>
  <c r="F170" i="28" s="1"/>
  <c r="N17" i="16"/>
  <c r="AR115" i="16" l="1"/>
  <c r="AS22" i="31"/>
  <c r="CG115" i="16"/>
  <c r="CH22" i="31"/>
  <c r="AK115" i="16"/>
  <c r="AL22" i="31"/>
  <c r="CD115" i="16"/>
  <c r="CE22" i="31"/>
  <c r="BS115" i="16"/>
  <c r="BT22" i="31"/>
  <c r="BH115" i="16"/>
  <c r="BI22" i="31"/>
  <c r="BG115" i="16"/>
  <c r="BH22" i="31"/>
  <c r="W115" i="16"/>
  <c r="X22" i="31"/>
  <c r="AS115" i="16"/>
  <c r="AT22" i="31"/>
  <c r="BE115" i="16"/>
  <c r="BF22" i="31"/>
  <c r="AH115" i="16"/>
  <c r="AI22" i="31"/>
  <c r="AN115" i="16"/>
  <c r="AO22" i="31"/>
  <c r="AE115" i="16"/>
  <c r="AF22" i="31"/>
  <c r="T115" i="16"/>
  <c r="U22" i="31"/>
  <c r="BZ115" i="16"/>
  <c r="CA22" i="31"/>
  <c r="BF115" i="16"/>
  <c r="BG22" i="31"/>
  <c r="CC115" i="16"/>
  <c r="CD22" i="31"/>
  <c r="V115" i="16"/>
  <c r="W22" i="31"/>
  <c r="Y115" i="16"/>
  <c r="Z22" i="31"/>
  <c r="AC115" i="16"/>
  <c r="AD22" i="31"/>
  <c r="AD115" i="16"/>
  <c r="AE22" i="31"/>
  <c r="BQ115" i="16"/>
  <c r="BR22" i="31"/>
  <c r="BM115" i="16"/>
  <c r="BN22" i="31"/>
  <c r="BB115" i="16"/>
  <c r="BC22" i="31"/>
  <c r="BT115" i="16"/>
  <c r="BU22" i="31"/>
  <c r="BK115" i="16"/>
  <c r="BL22" i="31"/>
  <c r="BN115" i="16"/>
  <c r="BO22" i="31"/>
  <c r="AO115" i="16"/>
  <c r="AP22" i="31"/>
  <c r="AU115" i="16"/>
  <c r="AV22" i="31"/>
  <c r="BR115" i="16"/>
  <c r="BS22" i="31"/>
  <c r="Z115" i="16"/>
  <c r="AA22" i="31"/>
  <c r="BO115" i="16"/>
  <c r="BP22" i="31"/>
  <c r="U115" i="16"/>
  <c r="V22" i="31"/>
  <c r="AT115" i="16"/>
  <c r="AU22" i="31"/>
  <c r="AG115" i="16"/>
  <c r="AH22" i="31"/>
  <c r="BA115" i="16"/>
  <c r="BB22" i="31"/>
  <c r="BX115" i="16"/>
  <c r="BY22" i="31"/>
  <c r="CI115" i="16"/>
  <c r="CJ22" i="31"/>
  <c r="AA115" i="16"/>
  <c r="AB22" i="31"/>
  <c r="AY115" i="16"/>
  <c r="AZ22" i="31"/>
  <c r="BY115" i="16"/>
  <c r="BZ22" i="31"/>
  <c r="BV115" i="16"/>
  <c r="BW22" i="31"/>
  <c r="S115" i="16"/>
  <c r="T22" i="31"/>
  <c r="BW115" i="16"/>
  <c r="BX22" i="31"/>
  <c r="CE115" i="16"/>
  <c r="CF22" i="31"/>
  <c r="BI115" i="16"/>
  <c r="BJ22" i="31"/>
  <c r="CH115" i="16"/>
  <c r="CI22" i="31"/>
  <c r="CB115" i="16"/>
  <c r="CC22" i="31"/>
  <c r="Q115" i="16"/>
  <c r="R22" i="31"/>
  <c r="BC115" i="16"/>
  <c r="BD22" i="31"/>
  <c r="AW115" i="16"/>
  <c r="AX22" i="31"/>
  <c r="AZ115" i="16"/>
  <c r="BA22" i="31"/>
  <c r="AV115" i="16"/>
  <c r="AW22" i="31"/>
  <c r="AL115" i="16"/>
  <c r="AM22" i="31"/>
  <c r="AF115" i="16"/>
  <c r="AG22" i="31"/>
  <c r="BJ115" i="16"/>
  <c r="BK22" i="31"/>
  <c r="AQ115" i="16"/>
  <c r="AR22" i="31"/>
  <c r="AP115" i="16"/>
  <c r="AQ22" i="31"/>
  <c r="AX115" i="16"/>
  <c r="AY22" i="31"/>
  <c r="BU115" i="16"/>
  <c r="BV22" i="31"/>
  <c r="BD115" i="16"/>
  <c r="BE22" i="31"/>
  <c r="X115" i="16"/>
  <c r="Y22" i="31"/>
  <c r="R115" i="16"/>
  <c r="S22" i="31"/>
  <c r="AJ115" i="16"/>
  <c r="AK22" i="31"/>
  <c r="AB115" i="16"/>
  <c r="AC22" i="31"/>
  <c r="AM115" i="16"/>
  <c r="AN22" i="31"/>
  <c r="AI115" i="16"/>
  <c r="AJ22" i="31"/>
  <c r="BP115" i="16"/>
  <c r="BQ22" i="31"/>
  <c r="CA115" i="16"/>
  <c r="CB22" i="31"/>
  <c r="CF115" i="16"/>
  <c r="CG22" i="31"/>
  <c r="BL115" i="16"/>
  <c r="BM22" i="31"/>
  <c r="M22" i="26"/>
  <c r="C16" i="26"/>
  <c r="H35" i="26" s="1"/>
  <c r="G26" i="26"/>
  <c r="J26" i="26" s="1"/>
  <c r="J25" i="26"/>
  <c r="BI34" i="16"/>
  <c r="BI33" i="16"/>
  <c r="BI35" i="16" s="1"/>
  <c r="BI37" i="16" s="1"/>
  <c r="BI94" i="16" s="1"/>
  <c r="BH35" i="16"/>
  <c r="BH37" i="16" s="1"/>
  <c r="BH94" i="16" s="1"/>
  <c r="BQ94" i="13"/>
  <c r="BR88" i="16"/>
  <c r="BJ29" i="16"/>
  <c r="BJ68" i="18"/>
  <c r="BI79" i="18"/>
  <c r="BK20" i="16" s="1"/>
  <c r="BJ72" i="18"/>
  <c r="BI83" i="18"/>
  <c r="BK24" i="16" s="1"/>
  <c r="BK71" i="18"/>
  <c r="BJ82" i="18"/>
  <c r="BL23" i="16" s="1"/>
  <c r="BG113" i="16"/>
  <c r="BP28" i="16"/>
  <c r="BM86" i="18"/>
  <c r="BO27" i="16" s="1"/>
  <c r="F107" i="16"/>
  <c r="D17" i="16"/>
  <c r="F106" i="16"/>
  <c r="BQ22" i="16"/>
  <c r="BR21" i="18"/>
  <c r="BQ60" i="18"/>
  <c r="BP23" i="18"/>
  <c r="BO62" i="18"/>
  <c r="BQ25" i="16" s="1"/>
  <c r="BQ15" i="18"/>
  <c r="BP54" i="18"/>
  <c r="BQ9" i="18"/>
  <c r="BP48" i="18"/>
  <c r="BQ20" i="18"/>
  <c r="BP59" i="18"/>
  <c r="BP26" i="18"/>
  <c r="BO65" i="18"/>
  <c r="BO14" i="18"/>
  <c r="BN53" i="18"/>
  <c r="BU12" i="18"/>
  <c r="BT51" i="18"/>
  <c r="BN47" i="18"/>
  <c r="BP21" i="16" s="1"/>
  <c r="BO8" i="18"/>
  <c r="BP7" i="18"/>
  <c r="BO46" i="18"/>
  <c r="BR19" i="18"/>
  <c r="BQ58" i="18"/>
  <c r="BO22" i="18"/>
  <c r="BN61" i="18"/>
  <c r="BO13" i="18"/>
  <c r="BN52" i="18"/>
  <c r="BP26" i="16" s="1"/>
  <c r="BP24" i="18"/>
  <c r="BO63" i="18"/>
  <c r="BQ18" i="18"/>
  <c r="BP57" i="18"/>
  <c r="BP25" i="18"/>
  <c r="BO64" i="18"/>
  <c r="BO11" i="18"/>
  <c r="BN50" i="18"/>
  <c r="BN10" i="18"/>
  <c r="BM49" i="18"/>
  <c r="G73" i="16"/>
  <c r="M24" i="26"/>
  <c r="M23" i="26"/>
  <c r="O32" i="16"/>
  <c r="O34" i="16"/>
  <c r="O33" i="16"/>
  <c r="F73" i="16"/>
  <c r="D164" i="28" l="1"/>
  <c r="H37" i="26"/>
  <c r="E164" i="28" s="1"/>
  <c r="F22" i="31"/>
  <c r="G27" i="26"/>
  <c r="M27" i="26"/>
  <c r="M29" i="26" s="1"/>
  <c r="E173" i="28" s="1"/>
  <c r="E174" i="28" s="1"/>
  <c r="E176" i="28" s="1"/>
  <c r="G29" i="26"/>
  <c r="J29" i="26" s="1"/>
  <c r="J27" i="26"/>
  <c r="BH113" i="16"/>
  <c r="BR94" i="13"/>
  <c r="BS88" i="16"/>
  <c r="BL71" i="18"/>
  <c r="BK82" i="18"/>
  <c r="BM23" i="16" s="1"/>
  <c r="BK72" i="18"/>
  <c r="BJ83" i="18"/>
  <c r="BL24" i="16" s="1"/>
  <c r="BK29" i="16"/>
  <c r="BN86" i="18"/>
  <c r="BP27" i="16" s="1"/>
  <c r="BK68" i="18"/>
  <c r="BJ79" i="18"/>
  <c r="BL20" i="16" s="1"/>
  <c r="BI113" i="16"/>
  <c r="BO87" i="18"/>
  <c r="BQ28" i="16" s="1"/>
  <c r="BJ33" i="16"/>
  <c r="BJ32" i="16"/>
  <c r="BJ34" i="16"/>
  <c r="BS21" i="18"/>
  <c r="BR60" i="18"/>
  <c r="BQ7" i="18"/>
  <c r="BP46" i="18"/>
  <c r="BP13" i="18"/>
  <c r="BO52" i="18"/>
  <c r="BQ26" i="16" s="1"/>
  <c r="BP8" i="18"/>
  <c r="BO47" i="18"/>
  <c r="BQ21" i="16" s="1"/>
  <c r="BP14" i="18"/>
  <c r="BO53" i="18"/>
  <c r="BO86" i="18" s="1"/>
  <c r="BQ27" i="16" s="1"/>
  <c r="BR20" i="18"/>
  <c r="BQ59" i="18"/>
  <c r="BV12" i="18"/>
  <c r="BU51" i="18"/>
  <c r="BR9" i="18"/>
  <c r="BQ48" i="18"/>
  <c r="BR18" i="18"/>
  <c r="BQ57" i="18"/>
  <c r="BS19" i="18"/>
  <c r="BR58" i="18"/>
  <c r="BR15" i="18"/>
  <c r="BQ54" i="18"/>
  <c r="BQ24" i="18"/>
  <c r="BP63" i="18"/>
  <c r="BQ26" i="18"/>
  <c r="BP65" i="18"/>
  <c r="BP87" i="18" s="1"/>
  <c r="BQ25" i="18"/>
  <c r="BP64" i="18"/>
  <c r="BP22" i="18"/>
  <c r="BO61" i="18"/>
  <c r="BR22" i="16"/>
  <c r="BQ23" i="18"/>
  <c r="BP62" i="18"/>
  <c r="BR25" i="16" s="1"/>
  <c r="BP11" i="18"/>
  <c r="BO50" i="18"/>
  <c r="BO10" i="18"/>
  <c r="BN49" i="18"/>
  <c r="H73" i="16"/>
  <c r="I73" i="16"/>
  <c r="O35" i="16"/>
  <c r="F77" i="16"/>
  <c r="G77" i="16"/>
  <c r="L73" i="16"/>
  <c r="J73" i="16"/>
  <c r="M32" i="26" l="1"/>
  <c r="BS94" i="13"/>
  <c r="BT88" i="16"/>
  <c r="BJ35" i="16"/>
  <c r="BJ37" i="16" s="1"/>
  <c r="BJ94" i="16" s="1"/>
  <c r="BJ113" i="16" s="1"/>
  <c r="BL29" i="16"/>
  <c r="BL33" i="16" s="1"/>
  <c r="BL68" i="18"/>
  <c r="BK79" i="18"/>
  <c r="BM20" i="16" s="1"/>
  <c r="BL72" i="18"/>
  <c r="BK83" i="18"/>
  <c r="BM24" i="16" s="1"/>
  <c r="BM71" i="18"/>
  <c r="BL82" i="18"/>
  <c r="BN23" i="16" s="1"/>
  <c r="BR28" i="16"/>
  <c r="BK34" i="16"/>
  <c r="BK33" i="16"/>
  <c r="BK32" i="16"/>
  <c r="BT21" i="18"/>
  <c r="BS60" i="18"/>
  <c r="BQ8" i="18"/>
  <c r="BP47" i="18"/>
  <c r="BR21" i="16" s="1"/>
  <c r="BW12" i="18"/>
  <c r="BV51" i="18"/>
  <c r="BT19" i="18"/>
  <c r="BS58" i="18"/>
  <c r="BS9" i="18"/>
  <c r="BR48" i="18"/>
  <c r="BQ22" i="18"/>
  <c r="BP61" i="18"/>
  <c r="BQ13" i="18"/>
  <c r="BP52" i="18"/>
  <c r="BR26" i="16" s="1"/>
  <c r="BS18" i="18"/>
  <c r="BR57" i="18"/>
  <c r="BS15" i="18"/>
  <c r="BR54" i="18"/>
  <c r="BR25" i="18"/>
  <c r="BQ64" i="18"/>
  <c r="BS20" i="18"/>
  <c r="BR59" i="18"/>
  <c r="BR23" i="18"/>
  <c r="BQ62" i="18"/>
  <c r="BS25" i="16" s="1"/>
  <c r="BR26" i="18"/>
  <c r="BQ65" i="18"/>
  <c r="BQ87" i="18" s="1"/>
  <c r="BR24" i="18"/>
  <c r="BQ63" i="18"/>
  <c r="BS22" i="16"/>
  <c r="BQ14" i="18"/>
  <c r="BP53" i="18"/>
  <c r="BP86" i="18" s="1"/>
  <c r="BR27" i="16" s="1"/>
  <c r="BR7" i="18"/>
  <c r="BQ46" i="18"/>
  <c r="BQ11" i="18"/>
  <c r="BP50" i="18"/>
  <c r="BP10" i="18"/>
  <c r="BO49" i="18"/>
  <c r="G95" i="16"/>
  <c r="H77" i="16"/>
  <c r="I77" i="16"/>
  <c r="F95" i="16"/>
  <c r="J77" i="16"/>
  <c r="L77" i="16"/>
  <c r="O37" i="16"/>
  <c r="BK35" i="16" l="1"/>
  <c r="BK37" i="16" s="1"/>
  <c r="BK94" i="16" s="1"/>
  <c r="BL32" i="16"/>
  <c r="BL34" i="16"/>
  <c r="BL35" i="16" s="1"/>
  <c r="BL37" i="16" s="1"/>
  <c r="BL94" i="16" s="1"/>
  <c r="BT94" i="13"/>
  <c r="BU88" i="16"/>
  <c r="BK113" i="16"/>
  <c r="BM68" i="18"/>
  <c r="BL79" i="18"/>
  <c r="BN20" i="16" s="1"/>
  <c r="BN71" i="18"/>
  <c r="BM82" i="18"/>
  <c r="BO23" i="16" s="1"/>
  <c r="BM72" i="18"/>
  <c r="BL83" i="18"/>
  <c r="BN24" i="16" s="1"/>
  <c r="BS28" i="16"/>
  <c r="BM29" i="16"/>
  <c r="BU21" i="18"/>
  <c r="BT60" i="18"/>
  <c r="BT22" i="16"/>
  <c r="BX12" i="18"/>
  <c r="BW51" i="18"/>
  <c r="BT15" i="18"/>
  <c r="BS54" i="18"/>
  <c r="BR22" i="18"/>
  <c r="BQ61" i="18"/>
  <c r="BU19" i="18"/>
  <c r="BT58" i="18"/>
  <c r="BS24" i="18"/>
  <c r="BR63" i="18"/>
  <c r="BS26" i="18"/>
  <c r="BR65" i="18"/>
  <c r="BR87" i="18" s="1"/>
  <c r="BT28" i="16" s="1"/>
  <c r="BS25" i="18"/>
  <c r="BR64" i="18"/>
  <c r="BR13" i="18"/>
  <c r="BQ52" i="18"/>
  <c r="BS26" i="16" s="1"/>
  <c r="BS7" i="18"/>
  <c r="BR46" i="18"/>
  <c r="BS23" i="18"/>
  <c r="BR62" i="18"/>
  <c r="BT25" i="16" s="1"/>
  <c r="BR14" i="18"/>
  <c r="BQ53" i="18"/>
  <c r="BT18" i="18"/>
  <c r="BS57" i="18"/>
  <c r="BT9" i="18"/>
  <c r="BS48" i="18"/>
  <c r="BT20" i="18"/>
  <c r="BS59" i="18"/>
  <c r="BR8" i="18"/>
  <c r="BQ47" i="18"/>
  <c r="BS21" i="16" s="1"/>
  <c r="BR11" i="18"/>
  <c r="BQ50" i="18"/>
  <c r="BQ10" i="18"/>
  <c r="BP49" i="18"/>
  <c r="J95" i="16"/>
  <c r="J96" i="16" s="1"/>
  <c r="K10" i="31" s="1"/>
  <c r="I95" i="16"/>
  <c r="L95" i="16"/>
  <c r="H95" i="16"/>
  <c r="G117" i="16"/>
  <c r="F96" i="16"/>
  <c r="O94" i="16"/>
  <c r="K34" i="31" l="1"/>
  <c r="BN29" i="16"/>
  <c r="BN33" i="16" s="1"/>
  <c r="BU94" i="13"/>
  <c r="BV88" i="16"/>
  <c r="BN68" i="18"/>
  <c r="BM79" i="18"/>
  <c r="BO20" i="16" s="1"/>
  <c r="BN72" i="18"/>
  <c r="BM83" i="18"/>
  <c r="BO24" i="16" s="1"/>
  <c r="BM34" i="16"/>
  <c r="BM32" i="16"/>
  <c r="BM33" i="16"/>
  <c r="BL113" i="16"/>
  <c r="BQ86" i="18"/>
  <c r="BS27" i="16" s="1"/>
  <c r="BO71" i="18"/>
  <c r="BN82" i="18"/>
  <c r="BP23" i="16" s="1"/>
  <c r="BN32" i="16"/>
  <c r="I96" i="16"/>
  <c r="I117" i="16" s="1"/>
  <c r="BU22" i="16"/>
  <c r="BU60" i="18"/>
  <c r="BV21" i="18"/>
  <c r="BT26" i="18"/>
  <c r="BS65" i="18"/>
  <c r="BS87" i="18" s="1"/>
  <c r="BS22" i="18"/>
  <c r="BR61" i="18"/>
  <c r="BU9" i="18"/>
  <c r="BT48" i="18"/>
  <c r="BT7" i="18"/>
  <c r="BS46" i="18"/>
  <c r="BT24" i="18"/>
  <c r="BS63" i="18"/>
  <c r="BU15" i="18"/>
  <c r="BT54" i="18"/>
  <c r="BT23" i="18"/>
  <c r="BS62" i="18"/>
  <c r="BU25" i="16" s="1"/>
  <c r="BS13" i="18"/>
  <c r="BR52" i="18"/>
  <c r="BT26" i="16" s="1"/>
  <c r="BV19" i="18"/>
  <c r="BU58" i="18"/>
  <c r="BY12" i="18"/>
  <c r="BX51" i="18"/>
  <c r="BS8" i="18"/>
  <c r="BR47" i="18"/>
  <c r="BT21" i="16" s="1"/>
  <c r="BS14" i="18"/>
  <c r="BR53" i="18"/>
  <c r="BT25" i="18"/>
  <c r="BS64" i="18"/>
  <c r="BU20" i="18"/>
  <c r="BT59" i="18"/>
  <c r="BU18" i="18"/>
  <c r="BT57" i="18"/>
  <c r="BS11" i="18"/>
  <c r="BR50" i="18"/>
  <c r="BR10" i="18"/>
  <c r="BQ49" i="18"/>
  <c r="L96" i="16"/>
  <c r="M10" i="31" s="1"/>
  <c r="M34" i="31" s="1"/>
  <c r="M37" i="31" s="1"/>
  <c r="H96" i="16"/>
  <c r="J117" i="16"/>
  <c r="F117" i="16"/>
  <c r="F97" i="16"/>
  <c r="BN34" i="16" l="1"/>
  <c r="K37" i="31"/>
  <c r="BV94" i="13"/>
  <c r="BW88" i="16"/>
  <c r="BM35" i="16"/>
  <c r="BM37" i="16" s="1"/>
  <c r="BM94" i="16" s="1"/>
  <c r="BM113" i="16" s="1"/>
  <c r="BU28" i="16"/>
  <c r="BR86" i="18"/>
  <c r="BT27" i="16" s="1"/>
  <c r="BN35" i="16"/>
  <c r="BN37" i="16" s="1"/>
  <c r="BN94" i="16" s="1"/>
  <c r="BO72" i="18"/>
  <c r="BN83" i="18"/>
  <c r="BP24" i="16" s="1"/>
  <c r="L117" i="16"/>
  <c r="L132" i="16"/>
  <c r="BO29" i="16"/>
  <c r="BP71" i="18"/>
  <c r="BO82" i="18"/>
  <c r="BQ23" i="16" s="1"/>
  <c r="BO68" i="18"/>
  <c r="BN79" i="18"/>
  <c r="BP20" i="16" s="1"/>
  <c r="BV60" i="18"/>
  <c r="BW21" i="18"/>
  <c r="BV22" i="16"/>
  <c r="BU23" i="18"/>
  <c r="BT62" i="18"/>
  <c r="BV25" i="16" s="1"/>
  <c r="BV9" i="18"/>
  <c r="BU48" i="18"/>
  <c r="BZ12" i="18"/>
  <c r="BY51" i="18"/>
  <c r="BT13" i="18"/>
  <c r="BS52" i="18"/>
  <c r="BU26" i="16" s="1"/>
  <c r="BV20" i="18"/>
  <c r="BU59" i="18"/>
  <c r="BV15" i="18"/>
  <c r="BU54" i="18"/>
  <c r="BU7" i="18"/>
  <c r="BT46" i="18"/>
  <c r="BT22" i="18"/>
  <c r="BS61" i="18"/>
  <c r="BW19" i="18"/>
  <c r="BV58" i="18"/>
  <c r="BU24" i="18"/>
  <c r="BT63" i="18"/>
  <c r="BT8" i="18"/>
  <c r="BS47" i="18"/>
  <c r="BU21" i="16" s="1"/>
  <c r="BU25" i="18"/>
  <c r="BT64" i="18"/>
  <c r="BV18" i="18"/>
  <c r="BU57" i="18"/>
  <c r="BT14" i="18"/>
  <c r="BS53" i="18"/>
  <c r="BU26" i="18"/>
  <c r="BT65" i="18"/>
  <c r="BT11" i="18"/>
  <c r="BS50" i="18"/>
  <c r="BS10" i="18"/>
  <c r="BR49" i="18"/>
  <c r="H117" i="16"/>
  <c r="G97" i="16"/>
  <c r="K38" i="31" l="1"/>
  <c r="K39" i="31" s="1"/>
  <c r="L36" i="31" s="1"/>
  <c r="BW94" i="13"/>
  <c r="BX88" i="16"/>
  <c r="BP29" i="16"/>
  <c r="BP72" i="18"/>
  <c r="BO83" i="18"/>
  <c r="BQ24" i="16" s="1"/>
  <c r="BP68" i="18"/>
  <c r="BO79" i="18"/>
  <c r="BQ20" i="16" s="1"/>
  <c r="BQ71" i="18"/>
  <c r="BP82" i="18"/>
  <c r="BR23" i="16" s="1"/>
  <c r="BN113" i="16"/>
  <c r="BS86" i="18"/>
  <c r="BU27" i="16" s="1"/>
  <c r="BO34" i="16"/>
  <c r="BO33" i="16"/>
  <c r="BO32" i="16"/>
  <c r="BT87" i="18"/>
  <c r="BV28" i="16" s="1"/>
  <c r="BX21" i="18"/>
  <c r="BW60" i="18"/>
  <c r="BW22" i="16"/>
  <c r="BX19" i="18"/>
  <c r="BW58" i="18"/>
  <c r="BW15" i="18"/>
  <c r="BV54" i="18"/>
  <c r="BW9" i="18"/>
  <c r="BV48" i="18"/>
  <c r="BW20" i="18"/>
  <c r="BV59" i="18"/>
  <c r="BV25" i="18"/>
  <c r="BU64" i="18"/>
  <c r="BU22" i="18"/>
  <c r="BT61" i="18"/>
  <c r="BU13" i="18"/>
  <c r="BT52" i="18"/>
  <c r="BV26" i="16" s="1"/>
  <c r="BV23" i="18"/>
  <c r="BU62" i="18"/>
  <c r="BW25" i="16" s="1"/>
  <c r="BW18" i="18"/>
  <c r="BV57" i="18"/>
  <c r="BU14" i="18"/>
  <c r="BT53" i="18"/>
  <c r="BV24" i="18"/>
  <c r="BU63" i="18"/>
  <c r="BV26" i="18"/>
  <c r="BU65" i="18"/>
  <c r="BU8" i="18"/>
  <c r="BT47" i="18"/>
  <c r="BV21" i="16" s="1"/>
  <c r="BV7" i="18"/>
  <c r="BU46" i="18"/>
  <c r="CA12" i="18"/>
  <c r="BZ51" i="18"/>
  <c r="BU11" i="18"/>
  <c r="BT50" i="18"/>
  <c r="BT10" i="18"/>
  <c r="BS49" i="18"/>
  <c r="H97" i="16"/>
  <c r="BO35" i="16" l="1"/>
  <c r="BO37" i="16" s="1"/>
  <c r="BO94" i="16" s="1"/>
  <c r="BX94" i="13"/>
  <c r="BY88" i="16"/>
  <c r="BQ29" i="16"/>
  <c r="BQ32" i="16" s="1"/>
  <c r="BR71" i="18"/>
  <c r="BQ82" i="18"/>
  <c r="BS23" i="16" s="1"/>
  <c r="BO113" i="16"/>
  <c r="BQ68" i="18"/>
  <c r="BP79" i="18"/>
  <c r="BR20" i="16" s="1"/>
  <c r="BU87" i="18"/>
  <c r="BW28" i="16" s="1"/>
  <c r="BQ72" i="18"/>
  <c r="BP83" i="18"/>
  <c r="BR24" i="16" s="1"/>
  <c r="BT86" i="18"/>
  <c r="BV27" i="16" s="1"/>
  <c r="BP34" i="16"/>
  <c r="BP33" i="16"/>
  <c r="BP32" i="16"/>
  <c r="BY21" i="18"/>
  <c r="BX60" i="18"/>
  <c r="BX9" i="18"/>
  <c r="BW48" i="18"/>
  <c r="BV14" i="18"/>
  <c r="BU53" i="18"/>
  <c r="BY19" i="18"/>
  <c r="BX58" i="18"/>
  <c r="BX15" i="18"/>
  <c r="BW54" i="18"/>
  <c r="BW25" i="18"/>
  <c r="BV64" i="18"/>
  <c r="BW7" i="18"/>
  <c r="BV46" i="18"/>
  <c r="BV22" i="18"/>
  <c r="BU61" i="18"/>
  <c r="BU47" i="18"/>
  <c r="BW21" i="16" s="1"/>
  <c r="BV8" i="18"/>
  <c r="BX18" i="18"/>
  <c r="BW57" i="18"/>
  <c r="BW23" i="18"/>
  <c r="BV62" i="18"/>
  <c r="BX25" i="16" s="1"/>
  <c r="BX20" i="18"/>
  <c r="BW59" i="18"/>
  <c r="BV13" i="18"/>
  <c r="BU52" i="18"/>
  <c r="BW26" i="16" s="1"/>
  <c r="BW26" i="18"/>
  <c r="BV65" i="18"/>
  <c r="BV87" i="18" s="1"/>
  <c r="CB12" i="18"/>
  <c r="CA51" i="18"/>
  <c r="BW24" i="18"/>
  <c r="BV63" i="18"/>
  <c r="BX22" i="16"/>
  <c r="BV11" i="18"/>
  <c r="BU50" i="18"/>
  <c r="BU10" i="18"/>
  <c r="BT49" i="18"/>
  <c r="I97" i="16"/>
  <c r="BQ33" i="16" l="1"/>
  <c r="BQ34" i="16"/>
  <c r="BQ35" i="16" s="1"/>
  <c r="BQ37" i="16" s="1"/>
  <c r="BQ94" i="16" s="1"/>
  <c r="BQ113" i="16" s="1"/>
  <c r="BY94" i="13"/>
  <c r="BZ88" i="16"/>
  <c r="BP35" i="16"/>
  <c r="BP37" i="16" s="1"/>
  <c r="BP94" i="16" s="1"/>
  <c r="BP113" i="16" s="1"/>
  <c r="BR29" i="16"/>
  <c r="BR34" i="16" s="1"/>
  <c r="BR68" i="18"/>
  <c r="BQ79" i="18"/>
  <c r="BS20" i="16" s="1"/>
  <c r="BS71" i="18"/>
  <c r="BR82" i="18"/>
  <c r="BT23" i="16" s="1"/>
  <c r="BU86" i="18"/>
  <c r="BW27" i="16" s="1"/>
  <c r="BR72" i="18"/>
  <c r="BQ83" i="18"/>
  <c r="BS24" i="16" s="1"/>
  <c r="BX28" i="16"/>
  <c r="BY60" i="18"/>
  <c r="BZ21" i="18"/>
  <c r="BZ19" i="18"/>
  <c r="BY58" i="18"/>
  <c r="BY20" i="18"/>
  <c r="BX59" i="18"/>
  <c r="BX23" i="18"/>
  <c r="BW62" i="18"/>
  <c r="BY25" i="16" s="1"/>
  <c r="BX24" i="18"/>
  <c r="BW63" i="18"/>
  <c r="BW14" i="18"/>
  <c r="BV53" i="18"/>
  <c r="BW8" i="18"/>
  <c r="BV47" i="18"/>
  <c r="BX21" i="16" s="1"/>
  <c r="BX26" i="18"/>
  <c r="BW65" i="18"/>
  <c r="BW87" i="18" s="1"/>
  <c r="BY15" i="18"/>
  <c r="BX54" i="18"/>
  <c r="BW22" i="18"/>
  <c r="BV61" i="18"/>
  <c r="BY22" i="16"/>
  <c r="BW13" i="18"/>
  <c r="BV52" i="18"/>
  <c r="BX26" i="16" s="1"/>
  <c r="BX7" i="18"/>
  <c r="BW46" i="18"/>
  <c r="CC12" i="18"/>
  <c r="CB51" i="18"/>
  <c r="BY18" i="18"/>
  <c r="BX57" i="18"/>
  <c r="BX25" i="18"/>
  <c r="BW64" i="18"/>
  <c r="BY9" i="18"/>
  <c r="BX48" i="18"/>
  <c r="BW11" i="18"/>
  <c r="BV50" i="18"/>
  <c r="BV10" i="18"/>
  <c r="BU49" i="18"/>
  <c r="J97" i="16"/>
  <c r="BR32" i="16" l="1"/>
  <c r="BZ94" i="13"/>
  <c r="CA88" i="16"/>
  <c r="BR33" i="16"/>
  <c r="BR35" i="16" s="1"/>
  <c r="BR37" i="16" s="1"/>
  <c r="BR94" i="16" s="1"/>
  <c r="BS29" i="16"/>
  <c r="BS32" i="16" s="1"/>
  <c r="BS68" i="18"/>
  <c r="BR79" i="18"/>
  <c r="BT20" i="16" s="1"/>
  <c r="BV86" i="18"/>
  <c r="BX27" i="16" s="1"/>
  <c r="BS72" i="18"/>
  <c r="BR83" i="18"/>
  <c r="BT24" i="16" s="1"/>
  <c r="BY28" i="16"/>
  <c r="BT71" i="18"/>
  <c r="BS82" i="18"/>
  <c r="BU23" i="16" s="1"/>
  <c r="CA21" i="18"/>
  <c r="BZ60" i="18"/>
  <c r="BY7" i="18"/>
  <c r="BX46" i="18"/>
  <c r="BX13" i="18"/>
  <c r="BW52" i="18"/>
  <c r="BY26" i="16" s="1"/>
  <c r="BX8" i="18"/>
  <c r="BW47" i="18"/>
  <c r="BY21" i="16" s="1"/>
  <c r="BZ20" i="18"/>
  <c r="BY59" i="18"/>
  <c r="BY25" i="18"/>
  <c r="BX64" i="18"/>
  <c r="BY24" i="18"/>
  <c r="BX63" i="18"/>
  <c r="BY26" i="18"/>
  <c r="BX65" i="18"/>
  <c r="BZ15" i="18"/>
  <c r="BY54" i="18"/>
  <c r="BZ22" i="16"/>
  <c r="BZ9" i="18"/>
  <c r="BY48" i="18"/>
  <c r="CA22" i="16" s="1"/>
  <c r="CD12" i="18"/>
  <c r="CC51" i="18"/>
  <c r="BX22" i="18"/>
  <c r="BW61" i="18"/>
  <c r="BX14" i="18"/>
  <c r="BW53" i="18"/>
  <c r="CA19" i="18"/>
  <c r="BZ58" i="18"/>
  <c r="BZ18" i="18"/>
  <c r="BY57" i="18"/>
  <c r="BY23" i="18"/>
  <c r="BX62" i="18"/>
  <c r="BZ25" i="16" s="1"/>
  <c r="BX11" i="18"/>
  <c r="BW50" i="18"/>
  <c r="BW10" i="18"/>
  <c r="BV49" i="18"/>
  <c r="BR113" i="16" l="1"/>
  <c r="BS33" i="16"/>
  <c r="BS34" i="16"/>
  <c r="BS35" i="16" s="1"/>
  <c r="BS37" i="16" s="1"/>
  <c r="BS94" i="16" s="1"/>
  <c r="CA94" i="13"/>
  <c r="CB88" i="16"/>
  <c r="BT29" i="16"/>
  <c r="BU71" i="18"/>
  <c r="BT82" i="18"/>
  <c r="BV23" i="16" s="1"/>
  <c r="BT68" i="18"/>
  <c r="BS79" i="18"/>
  <c r="BU20" i="16" s="1"/>
  <c r="BW86" i="18"/>
  <c r="BY27" i="16" s="1"/>
  <c r="BT72" i="18"/>
  <c r="BS83" i="18"/>
  <c r="BU24" i="16" s="1"/>
  <c r="BX87" i="18"/>
  <c r="BZ28" i="16" s="1"/>
  <c r="CA60" i="18"/>
  <c r="CB21" i="18"/>
  <c r="BY8" i="18"/>
  <c r="BX47" i="18"/>
  <c r="BZ21" i="16" s="1"/>
  <c r="BZ24" i="18"/>
  <c r="BY63" i="18"/>
  <c r="CA18" i="18"/>
  <c r="BZ57" i="18"/>
  <c r="CB19" i="18"/>
  <c r="CA58" i="18"/>
  <c r="BY14" i="18"/>
  <c r="BX53" i="18"/>
  <c r="BX86" i="18" s="1"/>
  <c r="BZ27" i="16" s="1"/>
  <c r="BZ25" i="18"/>
  <c r="BY64" i="18"/>
  <c r="BY13" i="18"/>
  <c r="BX52" i="18"/>
  <c r="BZ26" i="16" s="1"/>
  <c r="CE12" i="18"/>
  <c r="CD51" i="18"/>
  <c r="BZ26" i="18"/>
  <c r="BY65" i="18"/>
  <c r="BY87" i="18" s="1"/>
  <c r="CA15" i="18"/>
  <c r="BZ54" i="18"/>
  <c r="CA9" i="18"/>
  <c r="BZ48" i="18"/>
  <c r="BZ23" i="18"/>
  <c r="BY62" i="18"/>
  <c r="CA25" i="16" s="1"/>
  <c r="BY22" i="18"/>
  <c r="BX61" i="18"/>
  <c r="CA20" i="18"/>
  <c r="BZ59" i="18"/>
  <c r="BZ7" i="18"/>
  <c r="BY46" i="18"/>
  <c r="BY11" i="18"/>
  <c r="BX50" i="18"/>
  <c r="BX10" i="18"/>
  <c r="BW49" i="18"/>
  <c r="BU29" i="16" l="1"/>
  <c r="CB94" i="13"/>
  <c r="CC88" i="16"/>
  <c r="BU68" i="18"/>
  <c r="BT79" i="18"/>
  <c r="BV20" i="16" s="1"/>
  <c r="BS113" i="16"/>
  <c r="BU32" i="16"/>
  <c r="BU34" i="16"/>
  <c r="BU33" i="16"/>
  <c r="BV71" i="18"/>
  <c r="BU82" i="18"/>
  <c r="BW23" i="16" s="1"/>
  <c r="BT32" i="16"/>
  <c r="BT33" i="16"/>
  <c r="BT34" i="16"/>
  <c r="CA28" i="16"/>
  <c r="BU72" i="18"/>
  <c r="BT83" i="18"/>
  <c r="BV24" i="16" s="1"/>
  <c r="CC21" i="18"/>
  <c r="CB60" i="18"/>
  <c r="CB22" i="16"/>
  <c r="CB20" i="18"/>
  <c r="CA59" i="18"/>
  <c r="CA24" i="18"/>
  <c r="BZ63" i="18"/>
  <c r="CB18" i="18"/>
  <c r="CA57" i="18"/>
  <c r="BZ22" i="18"/>
  <c r="BY61" i="18"/>
  <c r="CA25" i="18"/>
  <c r="BZ64" i="18"/>
  <c r="CA26" i="18"/>
  <c r="BZ65" i="18"/>
  <c r="BZ14" i="18"/>
  <c r="BY53" i="18"/>
  <c r="CA7" i="18"/>
  <c r="BZ46" i="18"/>
  <c r="CB9" i="18"/>
  <c r="CA48" i="18"/>
  <c r="CC22" i="16" s="1"/>
  <c r="CF12" i="18"/>
  <c r="CE51" i="18"/>
  <c r="BZ13" i="18"/>
  <c r="BY52" i="18"/>
  <c r="CA26" i="16" s="1"/>
  <c r="CB15" i="18"/>
  <c r="CA54" i="18"/>
  <c r="CA23" i="18"/>
  <c r="BZ62" i="18"/>
  <c r="CB25" i="16" s="1"/>
  <c r="CC19" i="18"/>
  <c r="CB58" i="18"/>
  <c r="BZ8" i="18"/>
  <c r="BY47" i="18"/>
  <c r="CA21" i="16" s="1"/>
  <c r="BZ11" i="18"/>
  <c r="BY50" i="18"/>
  <c r="BY10" i="18"/>
  <c r="BX49" i="18"/>
  <c r="CC94" i="13" l="1"/>
  <c r="CD88" i="16"/>
  <c r="BU35" i="16"/>
  <c r="BU37" i="16" s="1"/>
  <c r="BU94" i="16" s="1"/>
  <c r="BV29" i="16"/>
  <c r="BV34" i="16" s="1"/>
  <c r="BT35" i="16"/>
  <c r="BT37" i="16" s="1"/>
  <c r="BT94" i="16" s="1"/>
  <c r="BV72" i="18"/>
  <c r="BU83" i="18"/>
  <c r="BW24" i="16" s="1"/>
  <c r="BZ87" i="18"/>
  <c r="CB28" i="16" s="1"/>
  <c r="BV68" i="18"/>
  <c r="BU79" i="18"/>
  <c r="BW20" i="16" s="1"/>
  <c r="BW71" i="18"/>
  <c r="BV82" i="18"/>
  <c r="BX23" i="16" s="1"/>
  <c r="BY86" i="18"/>
  <c r="CA27" i="16" s="1"/>
  <c r="CD21" i="18"/>
  <c r="CC60" i="18"/>
  <c r="CC9" i="18"/>
  <c r="CB48" i="18"/>
  <c r="CA22" i="18"/>
  <c r="BZ61" i="18"/>
  <c r="CC18" i="18"/>
  <c r="CB57" i="18"/>
  <c r="CC15" i="18"/>
  <c r="CB54" i="18"/>
  <c r="CB24" i="18"/>
  <c r="CA63" i="18"/>
  <c r="CB23" i="18"/>
  <c r="CA62" i="18"/>
  <c r="CC25" i="16" s="1"/>
  <c r="CA13" i="18"/>
  <c r="BZ52" i="18"/>
  <c r="CB26" i="16" s="1"/>
  <c r="CA14" i="18"/>
  <c r="BZ53" i="18"/>
  <c r="CB7" i="18"/>
  <c r="CA46" i="18"/>
  <c r="CB26" i="18"/>
  <c r="CA65" i="18"/>
  <c r="CA8" i="18"/>
  <c r="BZ47" i="18"/>
  <c r="CB21" i="16" s="1"/>
  <c r="CD19" i="18"/>
  <c r="CC58" i="18"/>
  <c r="CG12" i="18"/>
  <c r="CF51" i="18"/>
  <c r="CB25" i="18"/>
  <c r="CA64" i="18"/>
  <c r="CC20" i="18"/>
  <c r="CB59" i="18"/>
  <c r="CA11" i="18"/>
  <c r="BZ50" i="18"/>
  <c r="BZ10" i="18"/>
  <c r="BY49" i="18"/>
  <c r="BU113" i="16" l="1"/>
  <c r="BV33" i="16"/>
  <c r="BV32" i="16"/>
  <c r="BV35" i="16" s="1"/>
  <c r="BV37" i="16" s="1"/>
  <c r="BV94" i="16" s="1"/>
  <c r="BV113" i="16" s="1"/>
  <c r="BW29" i="16"/>
  <c r="BW32" i="16" s="1"/>
  <c r="CD94" i="13"/>
  <c r="CE88" i="16"/>
  <c r="BT113" i="16"/>
  <c r="BX71" i="18"/>
  <c r="BW82" i="18"/>
  <c r="BY23" i="16" s="1"/>
  <c r="CA87" i="18"/>
  <c r="CC28" i="16" s="1"/>
  <c r="BW68" i="18"/>
  <c r="BV79" i="18"/>
  <c r="BX20" i="16" s="1"/>
  <c r="BZ86" i="18"/>
  <c r="CB27" i="16" s="1"/>
  <c r="BW72" i="18"/>
  <c r="BV83" i="18"/>
  <c r="BX24" i="16" s="1"/>
  <c r="CE21" i="18"/>
  <c r="CD60" i="18"/>
  <c r="CC25" i="18"/>
  <c r="CB64" i="18"/>
  <c r="CB14" i="18"/>
  <c r="CA53" i="18"/>
  <c r="CB8" i="18"/>
  <c r="CA47" i="18"/>
  <c r="CC21" i="16" s="1"/>
  <c r="CC26" i="18"/>
  <c r="CB65" i="18"/>
  <c r="CB87" i="18" s="1"/>
  <c r="CD18" i="18"/>
  <c r="CC57" i="18"/>
  <c r="CB13" i="18"/>
  <c r="CA52" i="18"/>
  <c r="CC26" i="16" s="1"/>
  <c r="CC7" i="18"/>
  <c r="CB46" i="18"/>
  <c r="CC23" i="18"/>
  <c r="CB62" i="18"/>
  <c r="CD25" i="16" s="1"/>
  <c r="CB22" i="18"/>
  <c r="CA61" i="18"/>
  <c r="CD15" i="18"/>
  <c r="CC54" i="18"/>
  <c r="CD22" i="16"/>
  <c r="CH12" i="18"/>
  <c r="CG51" i="18"/>
  <c r="CD20" i="18"/>
  <c r="CC59" i="18"/>
  <c r="CE19" i="18"/>
  <c r="CD58" i="18"/>
  <c r="CC24" i="18"/>
  <c r="CB63" i="18"/>
  <c r="CD9" i="18"/>
  <c r="CC48" i="18"/>
  <c r="CB11" i="18"/>
  <c r="CA50" i="18"/>
  <c r="CA10" i="18"/>
  <c r="BZ49" i="18"/>
  <c r="BW33" i="16" l="1"/>
  <c r="BW34" i="16"/>
  <c r="BW35" i="16"/>
  <c r="BW37" i="16" s="1"/>
  <c r="BW94" i="16" s="1"/>
  <c r="BW113" i="16" s="1"/>
  <c r="BX29" i="16"/>
  <c r="BX34" i="16" s="1"/>
  <c r="CE94" i="13"/>
  <c r="CF88" i="16"/>
  <c r="BX72" i="18"/>
  <c r="BW83" i="18"/>
  <c r="BY24" i="16" s="1"/>
  <c r="BY71" i="18"/>
  <c r="BX82" i="18"/>
  <c r="BZ23" i="16" s="1"/>
  <c r="BX68" i="18"/>
  <c r="BW79" i="18"/>
  <c r="BY20" i="16" s="1"/>
  <c r="CD28" i="16"/>
  <c r="CA86" i="18"/>
  <c r="CC27" i="16" s="1"/>
  <c r="CE60" i="18"/>
  <c r="CF21" i="18"/>
  <c r="CC8" i="18"/>
  <c r="CB47" i="18"/>
  <c r="CD21" i="16" s="1"/>
  <c r="CD23" i="18"/>
  <c r="CC62" i="18"/>
  <c r="CE25" i="16" s="1"/>
  <c r="CC13" i="18"/>
  <c r="CB52" i="18"/>
  <c r="CD26" i="16" s="1"/>
  <c r="CC14" i="18"/>
  <c r="CB53" i="18"/>
  <c r="CD26" i="18"/>
  <c r="CC65" i="18"/>
  <c r="CC87" i="18" s="1"/>
  <c r="CD7" i="18"/>
  <c r="CC46" i="18"/>
  <c r="CE20" i="18"/>
  <c r="CD59" i="18"/>
  <c r="CE22" i="16"/>
  <c r="CE9" i="18"/>
  <c r="CD48" i="18"/>
  <c r="CI12" i="18"/>
  <c r="CI51" i="18" s="1"/>
  <c r="CH51" i="18"/>
  <c r="CD24" i="18"/>
  <c r="CC63" i="18"/>
  <c r="CF19" i="18"/>
  <c r="CE58" i="18"/>
  <c r="CE15" i="18"/>
  <c r="CD54" i="18"/>
  <c r="CC22" i="18"/>
  <c r="CB61" i="18"/>
  <c r="CE18" i="18"/>
  <c r="CD57" i="18"/>
  <c r="CD25" i="18"/>
  <c r="CC64" i="18"/>
  <c r="CC11" i="18"/>
  <c r="CB50" i="18"/>
  <c r="CB10" i="18"/>
  <c r="CA49" i="18"/>
  <c r="BX32" i="16" l="1"/>
  <c r="BX33" i="16"/>
  <c r="BX35" i="16" s="1"/>
  <c r="BX37" i="16" s="1"/>
  <c r="BX94" i="16" s="1"/>
  <c r="CF94" i="13"/>
  <c r="CG88" i="16"/>
  <c r="BY29" i="16"/>
  <c r="BY33" i="16" s="1"/>
  <c r="BY68" i="18"/>
  <c r="BX79" i="18"/>
  <c r="BZ20" i="16" s="1"/>
  <c r="BZ71" i="18"/>
  <c r="BY82" i="18"/>
  <c r="CA23" i="16" s="1"/>
  <c r="BY72" i="18"/>
  <c r="BX83" i="18"/>
  <c r="BZ24" i="16" s="1"/>
  <c r="CE28" i="16"/>
  <c r="CB86" i="18"/>
  <c r="CD27" i="16" s="1"/>
  <c r="CF60" i="18"/>
  <c r="CG21" i="18"/>
  <c r="CD13" i="18"/>
  <c r="CC52" i="18"/>
  <c r="CE24" i="18"/>
  <c r="CD63" i="18"/>
  <c r="CE26" i="16"/>
  <c r="CE23" i="18"/>
  <c r="CD62" i="18"/>
  <c r="CF25" i="16" s="1"/>
  <c r="CF18" i="18"/>
  <c r="CE57" i="18"/>
  <c r="CD14" i="18"/>
  <c r="CC53" i="18"/>
  <c r="CF20" i="18"/>
  <c r="CE59" i="18"/>
  <c r="CE7" i="18"/>
  <c r="CD46" i="18"/>
  <c r="CF15" i="18"/>
  <c r="CE54" i="18"/>
  <c r="CF22" i="16"/>
  <c r="CE26" i="18"/>
  <c r="CD65" i="18"/>
  <c r="CD22" i="18"/>
  <c r="CC61" i="18"/>
  <c r="CE25" i="18"/>
  <c r="CD64" i="18"/>
  <c r="CG19" i="18"/>
  <c r="CF58" i="18"/>
  <c r="CF9" i="18"/>
  <c r="CE48" i="18"/>
  <c r="CD8" i="18"/>
  <c r="CC47" i="18"/>
  <c r="CE21" i="16" s="1"/>
  <c r="CD11" i="18"/>
  <c r="CC50" i="18"/>
  <c r="CC10" i="18"/>
  <c r="CB49" i="18"/>
  <c r="J124" i="16"/>
  <c r="J126" i="16" s="1"/>
  <c r="BX113" i="16" l="1"/>
  <c r="BY32" i="16"/>
  <c r="BY34" i="16"/>
  <c r="CG94" i="13"/>
  <c r="CH88" i="16"/>
  <c r="BZ72" i="18"/>
  <c r="BY83" i="18"/>
  <c r="CA24" i="16" s="1"/>
  <c r="CA71" i="18"/>
  <c r="BZ82" i="18"/>
  <c r="CB23" i="16" s="1"/>
  <c r="BZ29" i="16"/>
  <c r="BZ68" i="18"/>
  <c r="BY79" i="18"/>
  <c r="CA20" i="16" s="1"/>
  <c r="CC86" i="18"/>
  <c r="CE27" i="16" s="1"/>
  <c r="CD87" i="18"/>
  <c r="CF28" i="16" s="1"/>
  <c r="CG60" i="18"/>
  <c r="CH21" i="18"/>
  <c r="CH19" i="18"/>
  <c r="CG58" i="18"/>
  <c r="CF23" i="18"/>
  <c r="CE62" i="18"/>
  <c r="CG25" i="16" s="1"/>
  <c r="CF26" i="18"/>
  <c r="CE65" i="18"/>
  <c r="CE87" i="18" s="1"/>
  <c r="CE8" i="18"/>
  <c r="CD47" i="18"/>
  <c r="CF21" i="16" s="1"/>
  <c r="CG15" i="18"/>
  <c r="CF54" i="18"/>
  <c r="CF24" i="18"/>
  <c r="CE63" i="18"/>
  <c r="CE22" i="18"/>
  <c r="CD61" i="18"/>
  <c r="CF25" i="18"/>
  <c r="CE64" i="18"/>
  <c r="CG20" i="18"/>
  <c r="CF59" i="18"/>
  <c r="CE14" i="18"/>
  <c r="CD53" i="18"/>
  <c r="CG22" i="16"/>
  <c r="CG9" i="18"/>
  <c r="CF48" i="18"/>
  <c r="CF7" i="18"/>
  <c r="CE46" i="18"/>
  <c r="CG18" i="18"/>
  <c r="CF57" i="18"/>
  <c r="CE13" i="18"/>
  <c r="CD52" i="18"/>
  <c r="CF26" i="16" s="1"/>
  <c r="CE11" i="18"/>
  <c r="CD50" i="18"/>
  <c r="CD10" i="18"/>
  <c r="CC49" i="18"/>
  <c r="BY35" i="16" l="1"/>
  <c r="BY37" i="16" s="1"/>
  <c r="BY94" i="16" s="1"/>
  <c r="CA29" i="16"/>
  <c r="CA33" i="16" s="1"/>
  <c r="BY113" i="16"/>
  <c r="CH94" i="13"/>
  <c r="CI88" i="16"/>
  <c r="CA34" i="16"/>
  <c r="CG28" i="16"/>
  <c r="CA68" i="18"/>
  <c r="BZ79" i="18"/>
  <c r="CB20" i="16" s="1"/>
  <c r="CB71" i="18"/>
  <c r="CA82" i="18"/>
  <c r="CC23" i="16" s="1"/>
  <c r="BZ34" i="16"/>
  <c r="BZ33" i="16"/>
  <c r="BZ32" i="16"/>
  <c r="CD86" i="18"/>
  <c r="CF27" i="16" s="1"/>
  <c r="CA72" i="18"/>
  <c r="BZ83" i="18"/>
  <c r="CB24" i="16" s="1"/>
  <c r="CH22" i="16"/>
  <c r="CH60" i="18"/>
  <c r="CI21" i="18"/>
  <c r="CI60" i="18" s="1"/>
  <c r="CH9" i="18"/>
  <c r="CG48" i="18"/>
  <c r="CF8" i="18"/>
  <c r="CE47" i="18"/>
  <c r="CG21" i="16" s="1"/>
  <c r="CF13" i="18"/>
  <c r="CE52" i="18"/>
  <c r="CG26" i="16" s="1"/>
  <c r="CG26" i="18"/>
  <c r="CF65" i="18"/>
  <c r="CF87" i="18" s="1"/>
  <c r="CH18" i="18"/>
  <c r="CG57" i="18"/>
  <c r="CG23" i="18"/>
  <c r="CF62" i="18"/>
  <c r="CH25" i="16" s="1"/>
  <c r="CF22" i="18"/>
  <c r="CE61" i="18"/>
  <c r="CG24" i="18"/>
  <c r="CF63" i="18"/>
  <c r="CG25" i="18"/>
  <c r="CF64" i="18"/>
  <c r="CF14" i="18"/>
  <c r="CE53" i="18"/>
  <c r="CG7" i="18"/>
  <c r="CF46" i="18"/>
  <c r="CH20" i="18"/>
  <c r="CG59" i="18"/>
  <c r="CH15" i="18"/>
  <c r="CG54" i="18"/>
  <c r="CI19" i="18"/>
  <c r="CI58" i="18" s="1"/>
  <c r="CH58" i="18"/>
  <c r="CF11" i="18"/>
  <c r="CE50" i="18"/>
  <c r="CE10" i="18"/>
  <c r="CD49" i="18"/>
  <c r="CA32" i="16" l="1"/>
  <c r="BZ35" i="16"/>
  <c r="BZ37" i="16" s="1"/>
  <c r="BZ94" i="16" s="1"/>
  <c r="BZ113" i="16" s="1"/>
  <c r="CA35" i="16"/>
  <c r="CA37" i="16" s="1"/>
  <c r="CA94" i="16" s="1"/>
  <c r="CA113" i="16" s="1"/>
  <c r="CI94" i="13"/>
  <c r="CJ88" i="16"/>
  <c r="CB29" i="16"/>
  <c r="CB34" i="16" s="1"/>
  <c r="CC71" i="18"/>
  <c r="CB82" i="18"/>
  <c r="CD23" i="16" s="1"/>
  <c r="CB72" i="18"/>
  <c r="CA83" i="18"/>
  <c r="CC24" i="16" s="1"/>
  <c r="CE86" i="18"/>
  <c r="CG27" i="16" s="1"/>
  <c r="CB68" i="18"/>
  <c r="CA79" i="18"/>
  <c r="CC20" i="16" s="1"/>
  <c r="CH28" i="16"/>
  <c r="CH26" i="18"/>
  <c r="CG65" i="18"/>
  <c r="CG87" i="18" s="1"/>
  <c r="CG13" i="18"/>
  <c r="CF52" i="18"/>
  <c r="CH26" i="16" s="1"/>
  <c r="CG8" i="18"/>
  <c r="CF47" i="18"/>
  <c r="CH21" i="16" s="1"/>
  <c r="CH24" i="18"/>
  <c r="CG63" i="18"/>
  <c r="CG14" i="18"/>
  <c r="CF53" i="18"/>
  <c r="CF86" i="18" s="1"/>
  <c r="CH27" i="16" s="1"/>
  <c r="CI15" i="18"/>
  <c r="CI54" i="18" s="1"/>
  <c r="CH54" i="18"/>
  <c r="CH23" i="18"/>
  <c r="CG62" i="18"/>
  <c r="CI25" i="16" s="1"/>
  <c r="CI22" i="16"/>
  <c r="CH7" i="18"/>
  <c r="CG46" i="18"/>
  <c r="CG22" i="18"/>
  <c r="CF61" i="18"/>
  <c r="CH25" i="18"/>
  <c r="CG64" i="18"/>
  <c r="CI20" i="18"/>
  <c r="CI59" i="18" s="1"/>
  <c r="CH59" i="18"/>
  <c r="CI18" i="18"/>
  <c r="CI57" i="18" s="1"/>
  <c r="CH57" i="18"/>
  <c r="CI9" i="18"/>
  <c r="CI48" i="18" s="1"/>
  <c r="CH48" i="18"/>
  <c r="CG11" i="18"/>
  <c r="CF50" i="18"/>
  <c r="CF10" i="18"/>
  <c r="CE49" i="18"/>
  <c r="CB32" i="16" l="1"/>
  <c r="CB33" i="16"/>
  <c r="CJ94" i="13"/>
  <c r="CK88" i="16"/>
  <c r="CC29" i="16"/>
  <c r="CC72" i="18"/>
  <c r="CB83" i="18"/>
  <c r="CD24" i="16" s="1"/>
  <c r="CC68" i="18"/>
  <c r="CB79" i="18"/>
  <c r="CD20" i="16" s="1"/>
  <c r="CI28" i="16"/>
  <c r="CD71" i="18"/>
  <c r="CC82" i="18"/>
  <c r="CE23" i="16" s="1"/>
  <c r="CJ22" i="16"/>
  <c r="CI23" i="18"/>
  <c r="CI62" i="18" s="1"/>
  <c r="CK25" i="16" s="1"/>
  <c r="CH62" i="18"/>
  <c r="CJ25" i="16" s="1"/>
  <c r="CH8" i="18"/>
  <c r="CG47" i="18"/>
  <c r="CI21" i="16" s="1"/>
  <c r="CH22" i="18"/>
  <c r="CG61" i="18"/>
  <c r="CK22" i="16"/>
  <c r="CH13" i="18"/>
  <c r="CG52" i="18"/>
  <c r="CI26" i="16" s="1"/>
  <c r="CI7" i="18"/>
  <c r="CI46" i="18" s="1"/>
  <c r="CH46" i="18"/>
  <c r="CI26" i="18"/>
  <c r="CI65" i="18" s="1"/>
  <c r="CH65" i="18"/>
  <c r="CI25" i="18"/>
  <c r="CI64" i="18" s="1"/>
  <c r="CH64" i="18"/>
  <c r="CH14" i="18"/>
  <c r="CG53" i="18"/>
  <c r="CG86" i="18" s="1"/>
  <c r="CI27" i="16" s="1"/>
  <c r="CI24" i="18"/>
  <c r="CI63" i="18" s="1"/>
  <c r="CH63" i="18"/>
  <c r="CH11" i="18"/>
  <c r="CG50" i="18"/>
  <c r="CG10" i="18"/>
  <c r="CF49" i="18"/>
  <c r="D71" i="16"/>
  <c r="CB35" i="16" l="1"/>
  <c r="CB37" i="16" s="1"/>
  <c r="CB94" i="16" s="1"/>
  <c r="CK94" i="13"/>
  <c r="E94" i="13" s="1"/>
  <c r="CE71" i="18"/>
  <c r="CD82" i="18"/>
  <c r="CF23" i="16" s="1"/>
  <c r="CD72" i="18"/>
  <c r="CC83" i="18"/>
  <c r="CE24" i="16" s="1"/>
  <c r="CD29" i="16"/>
  <c r="CC32" i="16"/>
  <c r="CC34" i="16"/>
  <c r="CC33" i="16"/>
  <c r="CD68" i="18"/>
  <c r="CC79" i="18"/>
  <c r="CE20" i="16" s="1"/>
  <c r="CB113" i="16"/>
  <c r="CI87" i="18"/>
  <c r="CK28" i="16" s="1"/>
  <c r="CH87" i="18"/>
  <c r="CJ28" i="16" s="1"/>
  <c r="CI8" i="18"/>
  <c r="CI47" i="18" s="1"/>
  <c r="CK21" i="16" s="1"/>
  <c r="CH47" i="18"/>
  <c r="CJ21" i="16" s="1"/>
  <c r="CI14" i="18"/>
  <c r="CI53" i="18" s="1"/>
  <c r="CH53" i="18"/>
  <c r="CI13" i="18"/>
  <c r="CI52" i="18" s="1"/>
  <c r="CK26" i="16" s="1"/>
  <c r="CH52" i="18"/>
  <c r="CJ26" i="16" s="1"/>
  <c r="CI22" i="18"/>
  <c r="CI61" i="18" s="1"/>
  <c r="CH61" i="18"/>
  <c r="CI11" i="18"/>
  <c r="CI50" i="18" s="1"/>
  <c r="CH50" i="18"/>
  <c r="CH10" i="18"/>
  <c r="CG49" i="18"/>
  <c r="K73" i="16"/>
  <c r="K77" i="16" s="1"/>
  <c r="CC35" i="16" l="1"/>
  <c r="CC37" i="16" s="1"/>
  <c r="CC94" i="16" s="1"/>
  <c r="CC113" i="16" s="1"/>
  <c r="CE29" i="16"/>
  <c r="CE34" i="16" s="1"/>
  <c r="CD32" i="16"/>
  <c r="CD33" i="16"/>
  <c r="CD34" i="16"/>
  <c r="CE68" i="18"/>
  <c r="CD79" i="18"/>
  <c r="CF20" i="16" s="1"/>
  <c r="CE72" i="18"/>
  <c r="CD83" i="18"/>
  <c r="CF24" i="16" s="1"/>
  <c r="CH86" i="18"/>
  <c r="CJ27" i="16" s="1"/>
  <c r="CF71" i="18"/>
  <c r="CE82" i="18"/>
  <c r="CG23" i="16" s="1"/>
  <c r="D28" i="16"/>
  <c r="D201" i="28" s="1"/>
  <c r="D196" i="28" s="1"/>
  <c r="CI86" i="18"/>
  <c r="CK27" i="16" s="1"/>
  <c r="D77" i="16"/>
  <c r="D73" i="16"/>
  <c r="CI10" i="18"/>
  <c r="CI49" i="18" s="1"/>
  <c r="CH49" i="18"/>
  <c r="CE33" i="16" l="1"/>
  <c r="CE32" i="16"/>
  <c r="D27" i="16"/>
  <c r="D200" i="28" s="1"/>
  <c r="CF29" i="16"/>
  <c r="CF34" i="16" s="1"/>
  <c r="CF68" i="18"/>
  <c r="CE79" i="18"/>
  <c r="CG20" i="16" s="1"/>
  <c r="CF72" i="18"/>
  <c r="CE83" i="18"/>
  <c r="CG24" i="16" s="1"/>
  <c r="CG71" i="18"/>
  <c r="CF82" i="18"/>
  <c r="CH23" i="16" s="1"/>
  <c r="CE35" i="16"/>
  <c r="CE37" i="16" s="1"/>
  <c r="CE94" i="16" s="1"/>
  <c r="CD35" i="16"/>
  <c r="CD37" i="16" s="1"/>
  <c r="CD94" i="16" s="1"/>
  <c r="K95" i="16"/>
  <c r="D195" i="28" l="1"/>
  <c r="D202" i="28"/>
  <c r="E202" i="28" s="1"/>
  <c r="CF32" i="16"/>
  <c r="CF33" i="16"/>
  <c r="CG29" i="16"/>
  <c r="CG34" i="16" s="1"/>
  <c r="CG72" i="18"/>
  <c r="CF83" i="18"/>
  <c r="CH24" i="16" s="1"/>
  <c r="CH29" i="16" s="1"/>
  <c r="CD113" i="16"/>
  <c r="CG68" i="18"/>
  <c r="CF79" i="18"/>
  <c r="CH20" i="16" s="1"/>
  <c r="CE113" i="16"/>
  <c r="CH71" i="18"/>
  <c r="CG82" i="18"/>
  <c r="CI23" i="16" s="1"/>
  <c r="K96" i="16"/>
  <c r="CF35" i="16" l="1"/>
  <c r="CF37" i="16" s="1"/>
  <c r="CF94" i="16" s="1"/>
  <c r="K132" i="16"/>
  <c r="L10" i="31"/>
  <c r="CG33" i="16"/>
  <c r="CG32" i="16"/>
  <c r="CH72" i="18"/>
  <c r="CG83" i="18"/>
  <c r="CI24" i="16" s="1"/>
  <c r="CF113" i="16"/>
  <c r="CH33" i="16"/>
  <c r="CH32" i="16"/>
  <c r="CH34" i="16"/>
  <c r="CI71" i="18"/>
  <c r="CI82" i="18" s="1"/>
  <c r="CK23" i="16" s="1"/>
  <c r="CH82" i="18"/>
  <c r="CJ23" i="16" s="1"/>
  <c r="CH68" i="18"/>
  <c r="CG79" i="18"/>
  <c r="CI20" i="16" s="1"/>
  <c r="K97" i="16"/>
  <c r="L97" i="16" s="1"/>
  <c r="K117" i="16"/>
  <c r="K124" i="16" s="1"/>
  <c r="K126" i="16" s="1"/>
  <c r="L34" i="31" l="1"/>
  <c r="D23" i="16"/>
  <c r="CG35" i="16"/>
  <c r="CG37" i="16" s="1"/>
  <c r="CG94" i="16" s="1"/>
  <c r="CI72" i="18"/>
  <c r="CI83" i="18" s="1"/>
  <c r="CK24" i="16" s="1"/>
  <c r="CH83" i="18"/>
  <c r="CJ24" i="16" s="1"/>
  <c r="D24" i="16" s="1"/>
  <c r="CG113" i="16"/>
  <c r="CI29" i="16"/>
  <c r="CI68" i="18"/>
  <c r="CI79" i="18" s="1"/>
  <c r="CK20" i="16" s="1"/>
  <c r="CH79" i="18"/>
  <c r="CJ20" i="16" s="1"/>
  <c r="CH35" i="16"/>
  <c r="CH37" i="16" s="1"/>
  <c r="CH94" i="16" s="1"/>
  <c r="L124" i="16"/>
  <c r="L126" i="16" s="1"/>
  <c r="M97" i="16"/>
  <c r="L37" i="31" l="1"/>
  <c r="L38" i="31"/>
  <c r="L39" i="31" s="1"/>
  <c r="M36" i="31" s="1"/>
  <c r="M38" i="31" s="1"/>
  <c r="M39" i="31" s="1"/>
  <c r="N36" i="31" s="1"/>
  <c r="N38" i="31" s="1"/>
  <c r="N39" i="31" s="1"/>
  <c r="O36" i="31" s="1"/>
  <c r="CK29" i="16"/>
  <c r="CK32" i="16" s="1"/>
  <c r="CK33" i="16"/>
  <c r="CK34" i="16"/>
  <c r="CI32" i="16"/>
  <c r="CI33" i="16"/>
  <c r="CI34" i="16"/>
  <c r="CH113" i="16"/>
  <c r="CJ29" i="16"/>
  <c r="D20" i="16"/>
  <c r="N97" i="16"/>
  <c r="CI35" i="16" l="1"/>
  <c r="CI37" i="16" s="1"/>
  <c r="CI94" i="16" s="1"/>
  <c r="CJ32" i="16"/>
  <c r="CJ33" i="16"/>
  <c r="CJ34" i="16"/>
  <c r="CK35" i="16"/>
  <c r="CK37" i="16" s="1"/>
  <c r="CK94" i="16" l="1"/>
  <c r="CJ35" i="16"/>
  <c r="CJ37" i="16" s="1"/>
  <c r="CJ94" i="16" s="1"/>
  <c r="CI113" i="16"/>
  <c r="M124" i="16"/>
  <c r="M126" i="16" s="1"/>
  <c r="CK113" i="16" l="1"/>
  <c r="CJ113" i="16"/>
  <c r="N124" i="16" l="1"/>
  <c r="N126" i="16" s="1"/>
  <c r="P29" i="16" l="1"/>
  <c r="D29" i="16" s="1"/>
  <c r="P32" i="16" l="1"/>
  <c r="D32" i="16" s="1"/>
  <c r="P33" i="16"/>
  <c r="D33" i="16" s="1"/>
  <c r="P34" i="16"/>
  <c r="D34" i="16" s="1"/>
  <c r="P35" i="16" l="1"/>
  <c r="D35" i="16" s="1"/>
  <c r="P37" i="16" l="1"/>
  <c r="D37" i="16" s="1"/>
  <c r="K15" i="19" l="1"/>
  <c r="P94" i="16"/>
  <c r="D94" i="16" l="1"/>
  <c r="D113" i="16" s="1"/>
  <c r="P113" i="16"/>
  <c r="L15" i="19" l="1"/>
  <c r="M15" i="19" l="1"/>
  <c r="M20" i="19" l="1"/>
  <c r="L19" i="19" l="1"/>
  <c r="L20" i="19" l="1"/>
  <c r="L21" i="19"/>
  <c r="L22" i="19" l="1"/>
  <c r="K22" i="19" l="1"/>
  <c r="C86" i="16"/>
  <c r="N86" i="16" s="1"/>
  <c r="F87" i="13"/>
  <c r="AP87" i="13" s="1"/>
  <c r="AP90" i="13" s="1"/>
  <c r="AX86" i="16" l="1"/>
  <c r="AP92" i="13"/>
  <c r="AP89" i="16"/>
  <c r="CH87" i="13"/>
  <c r="CH90" i="13" s="1"/>
  <c r="AH87" i="13"/>
  <c r="AH90" i="13" s="1"/>
  <c r="BL87" i="13"/>
  <c r="BL90" i="13" s="1"/>
  <c r="AM87" i="13"/>
  <c r="AM90" i="13" s="1"/>
  <c r="AK87" i="13"/>
  <c r="AK90" i="13" s="1"/>
  <c r="U87" i="13"/>
  <c r="U90" i="13" s="1"/>
  <c r="BV87" i="13"/>
  <c r="BV90" i="13" s="1"/>
  <c r="AO87" i="13"/>
  <c r="AO90" i="13" s="1"/>
  <c r="BQ87" i="13"/>
  <c r="BQ90" i="13" s="1"/>
  <c r="BW87" i="13"/>
  <c r="BW90" i="13" s="1"/>
  <c r="BH87" i="13"/>
  <c r="BH90" i="13" s="1"/>
  <c r="BP87" i="13"/>
  <c r="BP90" i="13" s="1"/>
  <c r="AB87" i="13"/>
  <c r="AB90" i="13" s="1"/>
  <c r="BT87" i="13"/>
  <c r="BT90" i="13" s="1"/>
  <c r="BE87" i="13"/>
  <c r="BE90" i="13" s="1"/>
  <c r="O87" i="13"/>
  <c r="O90" i="13" s="1"/>
  <c r="O89" i="16" s="1"/>
  <c r="AL87" i="13"/>
  <c r="AL90" i="13" s="1"/>
  <c r="BJ87" i="13"/>
  <c r="BJ90" i="13" s="1"/>
  <c r="Q87" i="13"/>
  <c r="Q90" i="13" s="1"/>
  <c r="BN87" i="13"/>
  <c r="BN90" i="13" s="1"/>
  <c r="BF87" i="13"/>
  <c r="BF90" i="13" s="1"/>
  <c r="BM87" i="13"/>
  <c r="BM90" i="13" s="1"/>
  <c r="BS87" i="13"/>
  <c r="BS90" i="13" s="1"/>
  <c r="AD87" i="13"/>
  <c r="AD90" i="13" s="1"/>
  <c r="AN87" i="13"/>
  <c r="AN90" i="13" s="1"/>
  <c r="BA87" i="13"/>
  <c r="BA90" i="13" s="1"/>
  <c r="Z87" i="13"/>
  <c r="Z90" i="13" s="1"/>
  <c r="AJ87" i="13"/>
  <c r="AJ90" i="13" s="1"/>
  <c r="BZ87" i="13"/>
  <c r="BZ90" i="13" s="1"/>
  <c r="BO87" i="13"/>
  <c r="BO90" i="13" s="1"/>
  <c r="CF87" i="13"/>
  <c r="CF90" i="13" s="1"/>
  <c r="BB87" i="13"/>
  <c r="BB90" i="13" s="1"/>
  <c r="AS87" i="13"/>
  <c r="AS90" i="13" s="1"/>
  <c r="CD87" i="13"/>
  <c r="CD90" i="13" s="1"/>
  <c r="BG87" i="13"/>
  <c r="BG90" i="13" s="1"/>
  <c r="BY87" i="13"/>
  <c r="BY90" i="13" s="1"/>
  <c r="AQ87" i="13"/>
  <c r="AQ90" i="13" s="1"/>
  <c r="AG87" i="13"/>
  <c r="AG90" i="13" s="1"/>
  <c r="AR87" i="13"/>
  <c r="AR90" i="13" s="1"/>
  <c r="BR87" i="13"/>
  <c r="BR90" i="13" s="1"/>
  <c r="CA87" i="13"/>
  <c r="CA90" i="13" s="1"/>
  <c r="BD87" i="13"/>
  <c r="BD90" i="13" s="1"/>
  <c r="CB87" i="13"/>
  <c r="CB90" i="13" s="1"/>
  <c r="AC87" i="13"/>
  <c r="AC90" i="13" s="1"/>
  <c r="W87" i="13"/>
  <c r="W90" i="13" s="1"/>
  <c r="T87" i="13"/>
  <c r="T90" i="13" s="1"/>
  <c r="AE87" i="13"/>
  <c r="AE90" i="13" s="1"/>
  <c r="R87" i="13"/>
  <c r="R90" i="13" s="1"/>
  <c r="P87" i="13"/>
  <c r="P90" i="13" s="1"/>
  <c r="S87" i="13"/>
  <c r="S90" i="13" s="1"/>
  <c r="BC87" i="13"/>
  <c r="BC90" i="13" s="1"/>
  <c r="BU87" i="13"/>
  <c r="BU90" i="13" s="1"/>
  <c r="AU87" i="13"/>
  <c r="AU90" i="13" s="1"/>
  <c r="X87" i="13"/>
  <c r="X90" i="13" s="1"/>
  <c r="AA87" i="13"/>
  <c r="AA90" i="13" s="1"/>
  <c r="CC87" i="13"/>
  <c r="CC90" i="13" s="1"/>
  <c r="E87" i="13"/>
  <c r="G33" i="26" s="1"/>
  <c r="J33" i="26" s="1"/>
  <c r="D159" i="28" s="1"/>
  <c r="V87" i="13"/>
  <c r="V90" i="13" s="1"/>
  <c r="AT87" i="13"/>
  <c r="AT90" i="13" s="1"/>
  <c r="BK87" i="13"/>
  <c r="BK90" i="13" s="1"/>
  <c r="AV87" i="13"/>
  <c r="AV90" i="13" s="1"/>
  <c r="CG87" i="13"/>
  <c r="CG90" i="13" s="1"/>
  <c r="BX87" i="13"/>
  <c r="BX90" i="13" s="1"/>
  <c r="AX87" i="13"/>
  <c r="AX90" i="13" s="1"/>
  <c r="AI87" i="13"/>
  <c r="AI90" i="13" s="1"/>
  <c r="CK87" i="13"/>
  <c r="CK90" i="13" s="1"/>
  <c r="AZ87" i="13"/>
  <c r="AZ90" i="13" s="1"/>
  <c r="CE87" i="13"/>
  <c r="CE90" i="13" s="1"/>
  <c r="AW87" i="13"/>
  <c r="AW90" i="13" s="1"/>
  <c r="CI87" i="13"/>
  <c r="CI90" i="13" s="1"/>
  <c r="AF87" i="13"/>
  <c r="AF90" i="13" s="1"/>
  <c r="Y87" i="13"/>
  <c r="Y90" i="13" s="1"/>
  <c r="BI87" i="13"/>
  <c r="BI90" i="13" s="1"/>
  <c r="CJ87" i="13"/>
  <c r="CJ90" i="13" s="1"/>
  <c r="AY87" i="13"/>
  <c r="AY90" i="13" s="1"/>
  <c r="Q86" i="16"/>
  <c r="H86" i="16"/>
  <c r="AE86" i="16"/>
  <c r="AR86" i="16"/>
  <c r="I86" i="16"/>
  <c r="O86" i="16"/>
  <c r="J86" i="16"/>
  <c r="AK86" i="16"/>
  <c r="AA86" i="16"/>
  <c r="AY86" i="16"/>
  <c r="V86" i="16"/>
  <c r="AW86" i="16"/>
  <c r="Z86" i="16"/>
  <c r="AJ86" i="16"/>
  <c r="U86" i="16"/>
  <c r="X86" i="16"/>
  <c r="Y86" i="16"/>
  <c r="AQ86" i="16"/>
  <c r="AV86" i="16"/>
  <c r="AD86" i="16"/>
  <c r="AF86" i="16"/>
  <c r="M86" i="16"/>
  <c r="BC86" i="16"/>
  <c r="AB86" i="16"/>
  <c r="AP86" i="16"/>
  <c r="AS86" i="16"/>
  <c r="W86" i="16"/>
  <c r="S86" i="16"/>
  <c r="AO86" i="16"/>
  <c r="G86" i="16"/>
  <c r="AG86" i="16"/>
  <c r="BA86" i="16"/>
  <c r="K86" i="16"/>
  <c r="AT86" i="16"/>
  <c r="AI86" i="16"/>
  <c r="AN86" i="16"/>
  <c r="AC86" i="16"/>
  <c r="AU86" i="16"/>
  <c r="AM86" i="16"/>
  <c r="AL86" i="16"/>
  <c r="R86" i="16"/>
  <c r="P86" i="16"/>
  <c r="BB86" i="16"/>
  <c r="AH86" i="16"/>
  <c r="L86" i="16"/>
  <c r="T86" i="16"/>
  <c r="F86" i="16"/>
  <c r="AZ86" i="16"/>
  <c r="CI89" i="16" l="1"/>
  <c r="CI92" i="13"/>
  <c r="CG89" i="16"/>
  <c r="CG92" i="13"/>
  <c r="X89" i="16"/>
  <c r="X92" i="13"/>
  <c r="T89" i="16"/>
  <c r="T92" i="13"/>
  <c r="AG89" i="16"/>
  <c r="AG92" i="13"/>
  <c r="BO89" i="16"/>
  <c r="BO92" i="13"/>
  <c r="BM89" i="16"/>
  <c r="BM92" i="13"/>
  <c r="BT89" i="16"/>
  <c r="BT92" i="13"/>
  <c r="U92" i="13"/>
  <c r="U89" i="16"/>
  <c r="AW89" i="16"/>
  <c r="AW92" i="13"/>
  <c r="AV92" i="13"/>
  <c r="AV89" i="16"/>
  <c r="AU89" i="16"/>
  <c r="AU92" i="13"/>
  <c r="W89" i="16"/>
  <c r="W92" i="13"/>
  <c r="AQ92" i="13"/>
  <c r="AQ89" i="16"/>
  <c r="BZ89" i="16"/>
  <c r="BZ92" i="13"/>
  <c r="BF89" i="16"/>
  <c r="BF92" i="13"/>
  <c r="AB92" i="13"/>
  <c r="AB89" i="16"/>
  <c r="AK89" i="16"/>
  <c r="AK92" i="13"/>
  <c r="CE89" i="16"/>
  <c r="CE92" i="13"/>
  <c r="BK89" i="16"/>
  <c r="BK92" i="13"/>
  <c r="BU89" i="16"/>
  <c r="BU92" i="13"/>
  <c r="AC89" i="16"/>
  <c r="AC92" i="13"/>
  <c r="BY89" i="16"/>
  <c r="BY92" i="13"/>
  <c r="AJ89" i="16"/>
  <c r="AJ92" i="13"/>
  <c r="BN89" i="16"/>
  <c r="BN92" i="13"/>
  <c r="BP89" i="16"/>
  <c r="BP92" i="13"/>
  <c r="AM92" i="13"/>
  <c r="AM89" i="16"/>
  <c r="AY89" i="16"/>
  <c r="AY92" i="13"/>
  <c r="AZ92" i="13"/>
  <c r="AZ89" i="16"/>
  <c r="AT92" i="13"/>
  <c r="AT89" i="16"/>
  <c r="BC89" i="16"/>
  <c r="BC92" i="13"/>
  <c r="CB89" i="16"/>
  <c r="CB92" i="13"/>
  <c r="BG89" i="16"/>
  <c r="BG92" i="13"/>
  <c r="Z92" i="13"/>
  <c r="Z89" i="16"/>
  <c r="Q89" i="16"/>
  <c r="Q92" i="13"/>
  <c r="BH89" i="16"/>
  <c r="BH92" i="13"/>
  <c r="BL89" i="16"/>
  <c r="BL92" i="13"/>
  <c r="CJ89" i="16"/>
  <c r="CJ92" i="13"/>
  <c r="S89" i="16"/>
  <c r="S92" i="13"/>
  <c r="BD89" i="16"/>
  <c r="BD92" i="13"/>
  <c r="CD89" i="16"/>
  <c r="CD92" i="13"/>
  <c r="BA89" i="16"/>
  <c r="BA92" i="13"/>
  <c r="BJ89" i="16"/>
  <c r="BJ92" i="13"/>
  <c r="BW89" i="16"/>
  <c r="BW92" i="13"/>
  <c r="AH89" i="16"/>
  <c r="AH92" i="13"/>
  <c r="CK89" i="16"/>
  <c r="CK92" i="13"/>
  <c r="BI89" i="16"/>
  <c r="BI92" i="13"/>
  <c r="AI92" i="13"/>
  <c r="AI89" i="16"/>
  <c r="E90" i="13"/>
  <c r="F29" i="13"/>
  <c r="D87" i="13"/>
  <c r="P89" i="16"/>
  <c r="P92" i="13"/>
  <c r="CA89" i="16"/>
  <c r="CA92" i="13"/>
  <c r="AS92" i="13"/>
  <c r="AS89" i="16"/>
  <c r="AN89" i="16"/>
  <c r="AN92" i="13"/>
  <c r="AL92" i="13"/>
  <c r="AL89" i="16"/>
  <c r="BQ89" i="16"/>
  <c r="BQ92" i="13"/>
  <c r="CH89" i="16"/>
  <c r="CH92" i="13"/>
  <c r="V89" i="16"/>
  <c r="V92" i="13"/>
  <c r="Y92" i="13"/>
  <c r="Y89" i="16"/>
  <c r="AX92" i="13"/>
  <c r="AX89" i="16"/>
  <c r="CC89" i="16"/>
  <c r="CC92" i="13"/>
  <c r="R89" i="16"/>
  <c r="R92" i="13"/>
  <c r="BR89" i="16"/>
  <c r="BR92" i="13"/>
  <c r="BB89" i="16"/>
  <c r="BB92" i="13"/>
  <c r="AD92" i="13"/>
  <c r="AD89" i="16"/>
  <c r="O95" i="16"/>
  <c r="AO89" i="16"/>
  <c r="AO92" i="13"/>
  <c r="AP114" i="16"/>
  <c r="AP95" i="16"/>
  <c r="D86" i="16"/>
  <c r="AF89" i="16"/>
  <c r="AF92" i="13"/>
  <c r="BX89" i="16"/>
  <c r="BX92" i="13"/>
  <c r="AA89" i="16"/>
  <c r="AA92" i="13"/>
  <c r="AE89" i="16"/>
  <c r="AE92" i="13"/>
  <c r="AR89" i="16"/>
  <c r="AR92" i="13"/>
  <c r="CF89" i="16"/>
  <c r="CF92" i="13"/>
  <c r="BS89" i="16"/>
  <c r="BS92" i="13"/>
  <c r="BE89" i="16"/>
  <c r="BE92" i="13"/>
  <c r="BV89" i="16"/>
  <c r="BV92" i="13"/>
  <c r="G32" i="26" l="1"/>
  <c r="C87" i="13"/>
  <c r="AI114" i="16"/>
  <c r="AI95" i="16"/>
  <c r="AX114" i="16"/>
  <c r="AX95" i="16"/>
  <c r="BW114" i="16"/>
  <c r="BW95" i="16"/>
  <c r="BW96" i="16" s="1"/>
  <c r="BX10" i="31" s="1"/>
  <c r="BX34" i="31" s="1"/>
  <c r="BX37" i="31" s="1"/>
  <c r="BD114" i="16"/>
  <c r="BD95" i="16"/>
  <c r="BD96" i="16" s="1"/>
  <c r="BE10" i="31" s="1"/>
  <c r="BE34" i="31" s="1"/>
  <c r="BE37" i="31" s="1"/>
  <c r="BH114" i="16"/>
  <c r="BH95" i="16"/>
  <c r="BH96" i="16" s="1"/>
  <c r="BI10" i="31" s="1"/>
  <c r="BI34" i="31" s="1"/>
  <c r="BI37" i="31" s="1"/>
  <c r="CB114" i="16"/>
  <c r="CB95" i="16"/>
  <c r="CB96" i="16" s="1"/>
  <c r="CC10" i="31" s="1"/>
  <c r="CC34" i="31" s="1"/>
  <c r="CC37" i="31" s="1"/>
  <c r="AY114" i="16"/>
  <c r="AY95" i="16"/>
  <c r="AJ114" i="16"/>
  <c r="AJ95" i="16"/>
  <c r="BK114" i="16"/>
  <c r="BK95" i="16"/>
  <c r="BK96" i="16" s="1"/>
  <c r="BL10" i="31" s="1"/>
  <c r="BL34" i="31" s="1"/>
  <c r="BL37" i="31" s="1"/>
  <c r="BF114" i="16"/>
  <c r="BF95" i="16"/>
  <c r="BF96" i="16" s="1"/>
  <c r="BG10" i="31" s="1"/>
  <c r="BG34" i="31" s="1"/>
  <c r="BG37" i="31" s="1"/>
  <c r="AU114" i="16"/>
  <c r="AU95" i="16"/>
  <c r="BT114" i="16"/>
  <c r="BT95" i="16"/>
  <c r="BT96" i="16" s="1"/>
  <c r="BU10" i="31" s="1"/>
  <c r="BU34" i="31" s="1"/>
  <c r="BU37" i="31" s="1"/>
  <c r="T114" i="16"/>
  <c r="T95" i="16"/>
  <c r="BQ114" i="16"/>
  <c r="BQ95" i="16"/>
  <c r="BQ96" i="16" s="1"/>
  <c r="BR10" i="31" s="1"/>
  <c r="BR34" i="31" s="1"/>
  <c r="BR37" i="31" s="1"/>
  <c r="AM114" i="16"/>
  <c r="AM95" i="16"/>
  <c r="CC114" i="16"/>
  <c r="CC95" i="16"/>
  <c r="CC96" i="16" s="1"/>
  <c r="CD10" i="31" s="1"/>
  <c r="CD34" i="31" s="1"/>
  <c r="CD37" i="31" s="1"/>
  <c r="AA114" i="16"/>
  <c r="AA95" i="16"/>
  <c r="Y114" i="16"/>
  <c r="Y95" i="16"/>
  <c r="BI114" i="16"/>
  <c r="BI95" i="16"/>
  <c r="BI96" i="16" s="1"/>
  <c r="BJ10" i="31" s="1"/>
  <c r="BJ34" i="31" s="1"/>
  <c r="BJ37" i="31" s="1"/>
  <c r="BJ114" i="16"/>
  <c r="BJ95" i="16"/>
  <c r="BJ96" i="16" s="1"/>
  <c r="BK10" i="31" s="1"/>
  <c r="BK34" i="31" s="1"/>
  <c r="BK37" i="31" s="1"/>
  <c r="S114" i="16"/>
  <c r="S95" i="16"/>
  <c r="Q114" i="16"/>
  <c r="Q95" i="16"/>
  <c r="BC114" i="16"/>
  <c r="BC95" i="16"/>
  <c r="BY114" i="16"/>
  <c r="BY95" i="16"/>
  <c r="BY96" i="16" s="1"/>
  <c r="BZ10" i="31" s="1"/>
  <c r="BZ34" i="31" s="1"/>
  <c r="BZ37" i="31" s="1"/>
  <c r="CE114" i="16"/>
  <c r="CE95" i="16"/>
  <c r="CE96" i="16" s="1"/>
  <c r="CF10" i="31" s="1"/>
  <c r="CF34" i="31" s="1"/>
  <c r="CF37" i="31" s="1"/>
  <c r="BZ114" i="16"/>
  <c r="BZ95" i="16"/>
  <c r="BZ96" i="16" s="1"/>
  <c r="CA10" i="31" s="1"/>
  <c r="CA34" i="31" s="1"/>
  <c r="CA37" i="31" s="1"/>
  <c r="BM114" i="16"/>
  <c r="BM95" i="16"/>
  <c r="BM96" i="16" s="1"/>
  <c r="BN10" i="31" s="1"/>
  <c r="BN34" i="31" s="1"/>
  <c r="BN37" i="31" s="1"/>
  <c r="X114" i="16"/>
  <c r="X95" i="16"/>
  <c r="AE114" i="16"/>
  <c r="AE95" i="16"/>
  <c r="AP96" i="16"/>
  <c r="AQ10" i="31" s="1"/>
  <c r="AQ34" i="31" s="1"/>
  <c r="AQ37" i="31" s="1"/>
  <c r="CA114" i="16"/>
  <c r="CA95" i="16"/>
  <c r="CA96" i="16" s="1"/>
  <c r="CB10" i="31" s="1"/>
  <c r="CB34" i="31" s="1"/>
  <c r="CB37" i="31" s="1"/>
  <c r="CF114" i="16"/>
  <c r="CF95" i="16"/>
  <c r="CF96" i="16" s="1"/>
  <c r="CG10" i="31" s="1"/>
  <c r="CG34" i="31" s="1"/>
  <c r="CG37" i="31" s="1"/>
  <c r="AO114" i="16"/>
  <c r="AO95" i="16"/>
  <c r="BR114" i="16"/>
  <c r="BR95" i="16"/>
  <c r="BR96" i="16" s="1"/>
  <c r="BS10" i="31" s="1"/>
  <c r="BS34" i="31" s="1"/>
  <c r="BS37" i="31" s="1"/>
  <c r="P114" i="16"/>
  <c r="P95" i="16"/>
  <c r="Z114" i="16"/>
  <c r="Z95" i="16"/>
  <c r="AT114" i="16"/>
  <c r="AT95" i="16"/>
  <c r="AQ114" i="16"/>
  <c r="AQ95" i="16"/>
  <c r="BB114" i="16"/>
  <c r="BB95" i="16"/>
  <c r="CK114" i="16"/>
  <c r="CK95" i="16"/>
  <c r="CK96" i="16" s="1"/>
  <c r="CL10" i="31" s="1"/>
  <c r="CL34" i="31" s="1"/>
  <c r="CL37" i="31" s="1"/>
  <c r="BA114" i="16"/>
  <c r="BA95" i="16"/>
  <c r="CJ114" i="16"/>
  <c r="CJ95" i="16"/>
  <c r="CJ96" i="16" s="1"/>
  <c r="CK10" i="31" s="1"/>
  <c r="CK34" i="31" s="1"/>
  <c r="CK37" i="31" s="1"/>
  <c r="BP114" i="16"/>
  <c r="BP95" i="16"/>
  <c r="BP96" i="16" s="1"/>
  <c r="BQ10" i="31" s="1"/>
  <c r="BQ34" i="31" s="1"/>
  <c r="BQ37" i="31" s="1"/>
  <c r="AC114" i="16"/>
  <c r="AC95" i="16"/>
  <c r="AK114" i="16"/>
  <c r="AK95" i="16"/>
  <c r="AW114" i="16"/>
  <c r="AW95" i="16"/>
  <c r="BO114" i="16"/>
  <c r="BO95" i="16"/>
  <c r="BO96" i="16" s="1"/>
  <c r="BP10" i="31" s="1"/>
  <c r="BP34" i="31" s="1"/>
  <c r="BP37" i="31" s="1"/>
  <c r="CG114" i="16"/>
  <c r="CG95" i="16"/>
  <c r="CG96" i="16" s="1"/>
  <c r="CH10" i="31" s="1"/>
  <c r="CH34" i="31" s="1"/>
  <c r="CH37" i="31" s="1"/>
  <c r="BE114" i="16"/>
  <c r="BE95" i="16"/>
  <c r="BE96" i="16" s="1"/>
  <c r="BF10" i="31" s="1"/>
  <c r="BF34" i="31" s="1"/>
  <c r="BF37" i="31" s="1"/>
  <c r="AL114" i="16"/>
  <c r="AL95" i="16"/>
  <c r="D89" i="16"/>
  <c r="K13" i="19" s="1"/>
  <c r="BV114" i="16"/>
  <c r="BV95" i="16"/>
  <c r="BV96" i="16" s="1"/>
  <c r="BW10" i="31" s="1"/>
  <c r="BW34" i="31" s="1"/>
  <c r="BW37" i="31" s="1"/>
  <c r="AR114" i="16"/>
  <c r="AR95" i="16"/>
  <c r="AF114" i="16"/>
  <c r="AF95" i="16"/>
  <c r="O96" i="16"/>
  <c r="P10" i="31" s="1"/>
  <c r="R114" i="16"/>
  <c r="R95" i="16"/>
  <c r="V114" i="16"/>
  <c r="V95" i="16"/>
  <c r="AN114" i="16"/>
  <c r="AN95" i="16"/>
  <c r="AZ114" i="16"/>
  <c r="AZ95" i="16"/>
  <c r="AB114" i="16"/>
  <c r="AB95" i="16"/>
  <c r="U114" i="16"/>
  <c r="U95" i="16"/>
  <c r="CH114" i="16"/>
  <c r="CH95" i="16"/>
  <c r="CH96" i="16" s="1"/>
  <c r="CI10" i="31" s="1"/>
  <c r="CI34" i="31" s="1"/>
  <c r="CI37" i="31" s="1"/>
  <c r="BS114" i="16"/>
  <c r="BS95" i="16"/>
  <c r="BS96" i="16" s="1"/>
  <c r="BT10" i="31" s="1"/>
  <c r="BT34" i="31" s="1"/>
  <c r="BT37" i="31" s="1"/>
  <c r="AV114" i="16"/>
  <c r="AV95" i="16"/>
  <c r="BX114" i="16"/>
  <c r="BX95" i="16"/>
  <c r="BX96" i="16" s="1"/>
  <c r="BY10" i="31" s="1"/>
  <c r="BY34" i="31" s="1"/>
  <c r="BY37" i="31" s="1"/>
  <c r="AD114" i="16"/>
  <c r="AD95" i="16"/>
  <c r="AS114" i="16"/>
  <c r="AS95" i="16"/>
  <c r="D90" i="13"/>
  <c r="AH114" i="16"/>
  <c r="AH95" i="16"/>
  <c r="CD114" i="16"/>
  <c r="CD95" i="16"/>
  <c r="CD96" i="16" s="1"/>
  <c r="CE10" i="31" s="1"/>
  <c r="CE34" i="31" s="1"/>
  <c r="CE37" i="31" s="1"/>
  <c r="BL114" i="16"/>
  <c r="BL95" i="16"/>
  <c r="BL96" i="16" s="1"/>
  <c r="BM10" i="31" s="1"/>
  <c r="BM34" i="31" s="1"/>
  <c r="BM37" i="31" s="1"/>
  <c r="BG114" i="16"/>
  <c r="BG95" i="16"/>
  <c r="BG96" i="16" s="1"/>
  <c r="BH10" i="31" s="1"/>
  <c r="BH34" i="31" s="1"/>
  <c r="BH37" i="31" s="1"/>
  <c r="BN114" i="16"/>
  <c r="BN95" i="16"/>
  <c r="BN96" i="16" s="1"/>
  <c r="BO10" i="31" s="1"/>
  <c r="BO34" i="31" s="1"/>
  <c r="BO37" i="31" s="1"/>
  <c r="BU114" i="16"/>
  <c r="BU95" i="16"/>
  <c r="BU96" i="16" s="1"/>
  <c r="BV10" i="31" s="1"/>
  <c r="BV34" i="31" s="1"/>
  <c r="BV37" i="31" s="1"/>
  <c r="W114" i="16"/>
  <c r="W95" i="16"/>
  <c r="AG114" i="16"/>
  <c r="AG95" i="16"/>
  <c r="CI114" i="16"/>
  <c r="CI95" i="16"/>
  <c r="CI96" i="16" s="1"/>
  <c r="CJ10" i="31" s="1"/>
  <c r="CJ34" i="31" s="1"/>
  <c r="CJ37" i="31" s="1"/>
  <c r="P34" i="31" l="1"/>
  <c r="BV117" i="16"/>
  <c r="BV132" i="16"/>
  <c r="CG132" i="16"/>
  <c r="CG117" i="16"/>
  <c r="AC96" i="16"/>
  <c r="AD10" i="31" s="1"/>
  <c r="AD34" i="31" s="1"/>
  <c r="AD37" i="31" s="1"/>
  <c r="CK132" i="16"/>
  <c r="CK117" i="16"/>
  <c r="Z96" i="16"/>
  <c r="AA10" i="31" s="1"/>
  <c r="AA34" i="31" s="1"/>
  <c r="AA37" i="31" s="1"/>
  <c r="CF132" i="16"/>
  <c r="CF117" i="16"/>
  <c r="X96" i="16"/>
  <c r="Y10" i="31" s="1"/>
  <c r="Y34" i="31" s="1"/>
  <c r="Y37" i="31" s="1"/>
  <c r="BY117" i="16"/>
  <c r="BY132" i="16"/>
  <c r="BJ117" i="16"/>
  <c r="BJ132" i="16"/>
  <c r="CC117" i="16"/>
  <c r="CC132" i="16"/>
  <c r="BT117" i="16"/>
  <c r="BT132" i="16"/>
  <c r="AJ96" i="16"/>
  <c r="AK10" i="31" s="1"/>
  <c r="AK34" i="31" s="1"/>
  <c r="AK37" i="31" s="1"/>
  <c r="BD117" i="16"/>
  <c r="BD132" i="16"/>
  <c r="BL132" i="16"/>
  <c r="BL117" i="16"/>
  <c r="AS96" i="16"/>
  <c r="AT10" i="31" s="1"/>
  <c r="AT34" i="31" s="1"/>
  <c r="AT37" i="31" s="1"/>
  <c r="O97" i="16"/>
  <c r="O117" i="16"/>
  <c r="O132" i="16"/>
  <c r="BO132" i="16"/>
  <c r="BO117" i="16"/>
  <c r="BP132" i="16"/>
  <c r="BP117" i="16"/>
  <c r="BB96" i="16"/>
  <c r="BC10" i="31" s="1"/>
  <c r="BC34" i="31" s="1"/>
  <c r="BC37" i="31" s="1"/>
  <c r="P96" i="16"/>
  <c r="Q10" i="31" s="1"/>
  <c r="Q34" i="31" s="1"/>
  <c r="Q37" i="31" s="1"/>
  <c r="CA117" i="16"/>
  <c r="CA132" i="16"/>
  <c r="BM132" i="16"/>
  <c r="BM117" i="16"/>
  <c r="BC96" i="16"/>
  <c r="BD10" i="31" s="1"/>
  <c r="BD34" i="31" s="1"/>
  <c r="BD37" i="31" s="1"/>
  <c r="BI132" i="16"/>
  <c r="BI117" i="16"/>
  <c r="AM96" i="16"/>
  <c r="AN10" i="31" s="1"/>
  <c r="AN34" i="31" s="1"/>
  <c r="AN37" i="31" s="1"/>
  <c r="AU96" i="16"/>
  <c r="AV10" i="31" s="1"/>
  <c r="AV34" i="31" s="1"/>
  <c r="AV37" i="31" s="1"/>
  <c r="AY96" i="16"/>
  <c r="AZ10" i="31" s="1"/>
  <c r="AZ34" i="31" s="1"/>
  <c r="AZ37" i="31" s="1"/>
  <c r="BW117" i="16"/>
  <c r="BW132" i="16"/>
  <c r="W96" i="16"/>
  <c r="X10" i="31" s="1"/>
  <c r="X34" i="31" s="1"/>
  <c r="X37" i="31" s="1"/>
  <c r="AZ96" i="16"/>
  <c r="BA10" i="31" s="1"/>
  <c r="BA34" i="31" s="1"/>
  <c r="BA37" i="31" s="1"/>
  <c r="BU132" i="16"/>
  <c r="BU117" i="16"/>
  <c r="AD96" i="16"/>
  <c r="AE10" i="31" s="1"/>
  <c r="AE34" i="31" s="1"/>
  <c r="AE37" i="31" s="1"/>
  <c r="CH117" i="16"/>
  <c r="CH132" i="16"/>
  <c r="AN96" i="16"/>
  <c r="AO10" i="31" s="1"/>
  <c r="AO34" i="31" s="1"/>
  <c r="AO37" i="31" s="1"/>
  <c r="D95" i="16"/>
  <c r="AL96" i="16"/>
  <c r="AM10" i="31" s="1"/>
  <c r="AM34" i="31" s="1"/>
  <c r="AM37" i="31" s="1"/>
  <c r="AP132" i="16"/>
  <c r="AP117" i="16"/>
  <c r="BZ132" i="16"/>
  <c r="BZ117" i="16"/>
  <c r="Q96" i="16"/>
  <c r="R10" i="31" s="1"/>
  <c r="Y96" i="16"/>
  <c r="Z10" i="31" s="1"/>
  <c r="Z34" i="31" s="1"/>
  <c r="Z37" i="31" s="1"/>
  <c r="BQ117" i="16"/>
  <c r="BQ132" i="16"/>
  <c r="BF117" i="16"/>
  <c r="BF132" i="16"/>
  <c r="CB117" i="16"/>
  <c r="CB132" i="16"/>
  <c r="AX96" i="16"/>
  <c r="AY10" i="31" s="1"/>
  <c r="AY34" i="31" s="1"/>
  <c r="AY37" i="31" s="1"/>
  <c r="BS117" i="16"/>
  <c r="BS132" i="16"/>
  <c r="AF96" i="16"/>
  <c r="AG10" i="31" s="1"/>
  <c r="AG34" i="31" s="1"/>
  <c r="AG37" i="31" s="1"/>
  <c r="BR132" i="16"/>
  <c r="BR117" i="16"/>
  <c r="BX117" i="16"/>
  <c r="BX132" i="16"/>
  <c r="CD117" i="16"/>
  <c r="CD132" i="16"/>
  <c r="CJ117" i="16"/>
  <c r="CJ132" i="16"/>
  <c r="CI132" i="16"/>
  <c r="CI117" i="16"/>
  <c r="AH96" i="16"/>
  <c r="AI10" i="31" s="1"/>
  <c r="AI34" i="31" s="1"/>
  <c r="AI37" i="31" s="1"/>
  <c r="V96" i="16"/>
  <c r="W10" i="31" s="1"/>
  <c r="W34" i="31" s="1"/>
  <c r="W37" i="31" s="1"/>
  <c r="AR96" i="16"/>
  <c r="AS10" i="31" s="1"/>
  <c r="AS34" i="31" s="1"/>
  <c r="AS37" i="31" s="1"/>
  <c r="BE132" i="16"/>
  <c r="BE117" i="16"/>
  <c r="AK96" i="16"/>
  <c r="AL10" i="31" s="1"/>
  <c r="AL34" i="31" s="1"/>
  <c r="AL37" i="31" s="1"/>
  <c r="BA96" i="16"/>
  <c r="BB10" i="31" s="1"/>
  <c r="BB34" i="31" s="1"/>
  <c r="BB37" i="31" s="1"/>
  <c r="AT96" i="16"/>
  <c r="AU10" i="31" s="1"/>
  <c r="AU34" i="31" s="1"/>
  <c r="AU37" i="31" s="1"/>
  <c r="AO96" i="16"/>
  <c r="AP10" i="31" s="1"/>
  <c r="AP34" i="31" s="1"/>
  <c r="AP37" i="31" s="1"/>
  <c r="AE96" i="16"/>
  <c r="AF10" i="31" s="1"/>
  <c r="AF34" i="31" s="1"/>
  <c r="AF37" i="31" s="1"/>
  <c r="CE117" i="16"/>
  <c r="CE132" i="16"/>
  <c r="S96" i="16"/>
  <c r="T10" i="31" s="1"/>
  <c r="T34" i="31" s="1"/>
  <c r="T37" i="31" s="1"/>
  <c r="AA96" i="16"/>
  <c r="AB10" i="31" s="1"/>
  <c r="AB34" i="31" s="1"/>
  <c r="AB37" i="31" s="1"/>
  <c r="T96" i="16"/>
  <c r="U10" i="31" s="1"/>
  <c r="U34" i="31" s="1"/>
  <c r="U37" i="31" s="1"/>
  <c r="BK117" i="16"/>
  <c r="BK132" i="16"/>
  <c r="BH117" i="16"/>
  <c r="BH132" i="16"/>
  <c r="AI96" i="16"/>
  <c r="AJ10" i="31" s="1"/>
  <c r="AJ34" i="31" s="1"/>
  <c r="AJ37" i="31" s="1"/>
  <c r="AW96" i="16"/>
  <c r="AX10" i="31" s="1"/>
  <c r="AX34" i="31" s="1"/>
  <c r="AX37" i="31" s="1"/>
  <c r="AQ96" i="16"/>
  <c r="AR10" i="31" s="1"/>
  <c r="AR34" i="31" s="1"/>
  <c r="AR37" i="31" s="1"/>
  <c r="BN117" i="16"/>
  <c r="BN132" i="16"/>
  <c r="U96" i="16"/>
  <c r="V10" i="31" s="1"/>
  <c r="V34" i="31" s="1"/>
  <c r="V37" i="31" s="1"/>
  <c r="AG96" i="16"/>
  <c r="AH10" i="31" s="1"/>
  <c r="AH34" i="31" s="1"/>
  <c r="AH37" i="31" s="1"/>
  <c r="BG117" i="16"/>
  <c r="BG132" i="16"/>
  <c r="J32" i="26"/>
  <c r="D162" i="28" s="1"/>
  <c r="AV96" i="16"/>
  <c r="AW10" i="31" s="1"/>
  <c r="AW34" i="31" s="1"/>
  <c r="AW37" i="31" s="1"/>
  <c r="AB96" i="16"/>
  <c r="AC10" i="31" s="1"/>
  <c r="AC34" i="31" s="1"/>
  <c r="AC37" i="31" s="1"/>
  <c r="R96" i="16"/>
  <c r="S10" i="31" s="1"/>
  <c r="S34" i="31" s="1"/>
  <c r="S37" i="31" s="1"/>
  <c r="CJ23" i="31" l="1"/>
  <c r="X23" i="31"/>
  <c r="AR23" i="31"/>
  <c r="R23" i="31"/>
  <c r="BC23" i="31"/>
  <c r="AB23" i="31"/>
  <c r="AG23" i="31"/>
  <c r="AD23" i="31"/>
  <c r="AY23" i="31"/>
  <c r="BZ23" i="31"/>
  <c r="AH23" i="31"/>
  <c r="CB23" i="31"/>
  <c r="W23" i="31"/>
  <c r="T23" i="31"/>
  <c r="BU23" i="31"/>
  <c r="AU23" i="31"/>
  <c r="BW23" i="31"/>
  <c r="CH23" i="31"/>
  <c r="V23" i="31"/>
  <c r="AA23" i="31"/>
  <c r="CG23" i="31"/>
  <c r="CE23" i="31"/>
  <c r="AW23" i="31"/>
  <c r="AM23" i="31"/>
  <c r="AQ23" i="31"/>
  <c r="BQ23" i="31"/>
  <c r="BV23" i="31"/>
  <c r="BP23" i="31"/>
  <c r="BT23" i="31"/>
  <c r="BL23" i="31"/>
  <c r="BI23" i="31"/>
  <c r="BG23" i="31"/>
  <c r="Y23" i="31"/>
  <c r="AE23" i="31"/>
  <c r="S23" i="31"/>
  <c r="BR23" i="31"/>
  <c r="AS23" i="31"/>
  <c r="AX23" i="31"/>
  <c r="BA23" i="31"/>
  <c r="AI23" i="31"/>
  <c r="CI23" i="31"/>
  <c r="BY23" i="31"/>
  <c r="BN23" i="31"/>
  <c r="BJ23" i="31"/>
  <c r="Z23" i="31"/>
  <c r="CD23" i="31"/>
  <c r="CA23" i="31"/>
  <c r="AK23" i="31"/>
  <c r="BM23" i="31"/>
  <c r="BD23" i="31"/>
  <c r="U23" i="31"/>
  <c r="AV23" i="31"/>
  <c r="AC23" i="31"/>
  <c r="BB23" i="31"/>
  <c r="AN23" i="31"/>
  <c r="BX23" i="31"/>
  <c r="BF23" i="31"/>
  <c r="BS23" i="31"/>
  <c r="CF23" i="31"/>
  <c r="CC23" i="31"/>
  <c r="AT23" i="31"/>
  <c r="AJ23" i="31"/>
  <c r="AO23" i="31"/>
  <c r="AF23" i="31"/>
  <c r="BH23" i="31"/>
  <c r="AP23" i="31"/>
  <c r="BK23" i="31"/>
  <c r="AZ23" i="31"/>
  <c r="BE23" i="31"/>
  <c r="AL23" i="31"/>
  <c r="BO23" i="31"/>
  <c r="R34" i="31"/>
  <c r="R37" i="31" s="1"/>
  <c r="D10" i="31"/>
  <c r="C10" i="31" s="1"/>
  <c r="F10" i="31"/>
  <c r="P37" i="31"/>
  <c r="K99" i="16"/>
  <c r="K19" i="19" s="1"/>
  <c r="D96" i="16"/>
  <c r="K16" i="19" s="1"/>
  <c r="K17" i="19" s="1"/>
  <c r="AB117" i="16"/>
  <c r="AB132" i="16"/>
  <c r="D114" i="16"/>
  <c r="AM132" i="16"/>
  <c r="AM117" i="16"/>
  <c r="BB132" i="16"/>
  <c r="BB117" i="16"/>
  <c r="T117" i="16"/>
  <c r="T102" i="16"/>
  <c r="T132" i="16"/>
  <c r="AN132" i="16"/>
  <c r="AN117" i="16"/>
  <c r="K100" i="16"/>
  <c r="K18" i="19" s="1"/>
  <c r="Z132" i="16"/>
  <c r="Z117" i="16"/>
  <c r="AI132" i="16"/>
  <c r="AI117" i="16"/>
  <c r="AK117" i="16"/>
  <c r="AK132" i="16"/>
  <c r="AX117" i="16"/>
  <c r="AX132" i="16"/>
  <c r="V117" i="16"/>
  <c r="V102" i="16"/>
  <c r="V132" i="16"/>
  <c r="AG132" i="16"/>
  <c r="AG117" i="16"/>
  <c r="BA132" i="16"/>
  <c r="BA117" i="16"/>
  <c r="AV117" i="16"/>
  <c r="AV132" i="16"/>
  <c r="AH132" i="16"/>
  <c r="AH117" i="16"/>
  <c r="AA117" i="16"/>
  <c r="AA132" i="16"/>
  <c r="AE132" i="16"/>
  <c r="AE117" i="16"/>
  <c r="AF117" i="16"/>
  <c r="AF132" i="16"/>
  <c r="O124" i="16"/>
  <c r="O126" i="16" s="1"/>
  <c r="X132" i="16"/>
  <c r="X117" i="16"/>
  <c r="AQ117" i="16"/>
  <c r="AQ132" i="16"/>
  <c r="AW132" i="16"/>
  <c r="AW117" i="16"/>
  <c r="AO132" i="16"/>
  <c r="AO117" i="16"/>
  <c r="U117" i="16"/>
  <c r="U102" i="16"/>
  <c r="U132" i="16"/>
  <c r="S102" i="16"/>
  <c r="S132" i="16"/>
  <c r="S117" i="16"/>
  <c r="Y117" i="16"/>
  <c r="Y132" i="16"/>
  <c r="AZ132" i="16"/>
  <c r="AZ117" i="16"/>
  <c r="AY132" i="16"/>
  <c r="AY117" i="16"/>
  <c r="R132" i="16"/>
  <c r="R117" i="16"/>
  <c r="R102" i="16"/>
  <c r="AT132" i="16"/>
  <c r="AT117" i="16"/>
  <c r="AL117" i="16"/>
  <c r="AL132" i="16"/>
  <c r="BC132" i="16"/>
  <c r="BC117" i="16"/>
  <c r="P117" i="16"/>
  <c r="P132" i="16"/>
  <c r="P102" i="16"/>
  <c r="P97" i="16"/>
  <c r="Q97" i="16" s="1"/>
  <c r="R97" i="16" s="1"/>
  <c r="S97" i="16" s="1"/>
  <c r="T97" i="16" s="1"/>
  <c r="U97" i="16" s="1"/>
  <c r="V97" i="16" s="1"/>
  <c r="W97" i="16" s="1"/>
  <c r="X97" i="16" s="1"/>
  <c r="Y97" i="16" s="1"/>
  <c r="Z97" i="16" s="1"/>
  <c r="AA97" i="16" s="1"/>
  <c r="AB97" i="16" s="1"/>
  <c r="AC97" i="16" s="1"/>
  <c r="AD97" i="16" s="1"/>
  <c r="AE97" i="16" s="1"/>
  <c r="AF97" i="16" s="1"/>
  <c r="AG97" i="16" s="1"/>
  <c r="AH97" i="16" s="1"/>
  <c r="AI97" i="16" s="1"/>
  <c r="AJ97" i="16" s="1"/>
  <c r="AK97" i="16" s="1"/>
  <c r="AL97" i="16" s="1"/>
  <c r="AM97" i="16" s="1"/>
  <c r="AN97" i="16" s="1"/>
  <c r="AO97" i="16" s="1"/>
  <c r="AP97" i="16" s="1"/>
  <c r="AQ97" i="16" s="1"/>
  <c r="AR97" i="16" s="1"/>
  <c r="AS97" i="16" s="1"/>
  <c r="AT97" i="16" s="1"/>
  <c r="AU97" i="16" s="1"/>
  <c r="AV97" i="16" s="1"/>
  <c r="AW97" i="16" s="1"/>
  <c r="AX97" i="16" s="1"/>
  <c r="AY97" i="16" s="1"/>
  <c r="AZ97" i="16" s="1"/>
  <c r="BA97" i="16" s="1"/>
  <c r="BB97" i="16" s="1"/>
  <c r="BC97" i="16" s="1"/>
  <c r="AC132" i="16"/>
  <c r="AC117" i="16"/>
  <c r="AR132" i="16"/>
  <c r="AR117" i="16"/>
  <c r="Q132" i="16"/>
  <c r="Q102" i="16"/>
  <c r="Q117" i="16"/>
  <c r="AD117" i="16"/>
  <c r="AD132" i="16"/>
  <c r="W132" i="16"/>
  <c r="W102" i="16"/>
  <c r="W117" i="16"/>
  <c r="AU117" i="16"/>
  <c r="AU132" i="16"/>
  <c r="AS117" i="16"/>
  <c r="AS132" i="16"/>
  <c r="AJ132" i="16"/>
  <c r="AJ117" i="16"/>
  <c r="R99" i="16"/>
  <c r="C132" i="16" l="1"/>
  <c r="D34" i="31"/>
  <c r="C34" i="31" s="1"/>
  <c r="F34" i="31"/>
  <c r="F37" i="31"/>
  <c r="C23" i="31"/>
  <c r="F23" i="31"/>
  <c r="C134" i="16"/>
  <c r="G38" i="26" s="1"/>
  <c r="K20" i="19"/>
  <c r="BD97" i="16"/>
  <c r="BE97" i="16" s="1"/>
  <c r="BF97" i="16" s="1"/>
  <c r="BG97" i="16" s="1"/>
  <c r="BH97" i="16" s="1"/>
  <c r="BI97" i="16" s="1"/>
  <c r="BJ97" i="16" s="1"/>
  <c r="BK97" i="16" s="1"/>
  <c r="BL97" i="16" s="1"/>
  <c r="BM97" i="16" s="1"/>
  <c r="BN97" i="16" s="1"/>
  <c r="BO97" i="16" s="1"/>
  <c r="BP97" i="16" s="1"/>
  <c r="BQ97" i="16" s="1"/>
  <c r="BR97" i="16" s="1"/>
  <c r="BS97" i="16" s="1"/>
  <c r="BT97" i="16" s="1"/>
  <c r="BU97" i="16" s="1"/>
  <c r="BV97" i="16" s="1"/>
  <c r="BW97" i="16" s="1"/>
  <c r="BX97" i="16" s="1"/>
  <c r="BY97" i="16" s="1"/>
  <c r="BZ97" i="16" s="1"/>
  <c r="CA97" i="16" s="1"/>
  <c r="CB97" i="16" s="1"/>
  <c r="CC97" i="16" s="1"/>
  <c r="CD97" i="16" s="1"/>
  <c r="CE97" i="16" s="1"/>
  <c r="CF97" i="16" s="1"/>
  <c r="CG97" i="16" s="1"/>
  <c r="CH97" i="16" s="1"/>
  <c r="CI97" i="16" s="1"/>
  <c r="CJ97" i="16" s="1"/>
  <c r="CK97" i="16" s="1"/>
  <c r="D132" i="16"/>
  <c r="K21" i="19"/>
  <c r="P124" i="16"/>
  <c r="P118" i="16"/>
  <c r="D117" i="16"/>
  <c r="D23" i="31" l="1"/>
  <c r="F59" i="28"/>
  <c r="O59" i="28" s="1"/>
  <c r="P119" i="16"/>
  <c r="Q116" i="16" s="1"/>
  <c r="P123" i="16"/>
  <c r="P126" i="16" l="1"/>
  <c r="Q124" i="16" l="1"/>
  <c r="Q118" i="16"/>
  <c r="Q123" i="16" l="1"/>
  <c r="Q119" i="16"/>
  <c r="Q126" i="16" l="1"/>
  <c r="R116" i="16"/>
  <c r="R124" i="16" l="1"/>
  <c r="R118" i="16"/>
  <c r="R123" i="16" l="1"/>
  <c r="R119" i="16"/>
  <c r="R126" i="16" l="1"/>
  <c r="S116" i="16"/>
  <c r="S124" i="16" l="1"/>
  <c r="S118" i="16"/>
  <c r="S123" i="16" l="1"/>
  <c r="S119" i="16"/>
  <c r="T116" i="16" l="1"/>
  <c r="S126" i="16"/>
  <c r="T124" i="16" l="1"/>
  <c r="T118" i="16"/>
  <c r="T123" i="16" l="1"/>
  <c r="T119" i="16"/>
  <c r="T126" i="16" l="1"/>
  <c r="U116" i="16"/>
  <c r="U124" i="16" l="1"/>
  <c r="U118" i="16"/>
  <c r="U123" i="16" l="1"/>
  <c r="U126" i="16" s="1"/>
  <c r="U119" i="16"/>
  <c r="V116" i="16" l="1"/>
  <c r="V124" i="16" l="1"/>
  <c r="V118" i="16"/>
  <c r="V123" i="16" l="1"/>
  <c r="V126" i="16" s="1"/>
  <c r="V119" i="16"/>
  <c r="W116" i="16" l="1"/>
  <c r="W124" i="16" l="1"/>
  <c r="W118" i="16"/>
  <c r="W123" i="16" l="1"/>
  <c r="W126" i="16" s="1"/>
  <c r="W119" i="16"/>
  <c r="X116" i="16" l="1"/>
  <c r="X124" i="16" l="1"/>
  <c r="X118" i="16"/>
  <c r="X123" i="16" l="1"/>
  <c r="X126" i="16" s="1"/>
  <c r="X119" i="16"/>
  <c r="Y116" i="16" l="1"/>
  <c r="Y124" i="16" l="1"/>
  <c r="Y118" i="16"/>
  <c r="Y123" i="16" l="1"/>
  <c r="Y126" i="16" s="1"/>
  <c r="Y119" i="16"/>
  <c r="Z116" i="16" l="1"/>
  <c r="Z124" i="16" l="1"/>
  <c r="Z118" i="16"/>
  <c r="Z123" i="16" l="1"/>
  <c r="Z126" i="16" s="1"/>
  <c r="Z119" i="16"/>
  <c r="AA116" i="16" l="1"/>
  <c r="AA124" i="16" l="1"/>
  <c r="AA118" i="16"/>
  <c r="AA123" i="16" l="1"/>
  <c r="AA126" i="16" s="1"/>
  <c r="AA119" i="16"/>
  <c r="AB116" i="16" l="1"/>
  <c r="AB124" i="16" l="1"/>
  <c r="AB118" i="16"/>
  <c r="AB123" i="16" l="1"/>
  <c r="AB126" i="16" s="1"/>
  <c r="AB119" i="16"/>
  <c r="AC116" i="16" l="1"/>
  <c r="AC124" i="16" l="1"/>
  <c r="AC118" i="16"/>
  <c r="AC123" i="16" l="1"/>
  <c r="AC126" i="16" s="1"/>
  <c r="AC119" i="16"/>
  <c r="AD116" i="16" l="1"/>
  <c r="M14" i="19" l="1"/>
  <c r="AD124" i="16"/>
  <c r="AD118" i="16"/>
  <c r="AD123" i="16" l="1"/>
  <c r="AD126" i="16" s="1"/>
  <c r="AD119" i="16"/>
  <c r="M13" i="19"/>
  <c r="M19" i="19" l="1"/>
  <c r="AE116" i="16"/>
  <c r="AE124" i="16" l="1"/>
  <c r="AE118" i="16"/>
  <c r="M16" i="19"/>
  <c r="M17" i="19" s="1"/>
  <c r="M22" i="19"/>
  <c r="M21" i="19"/>
  <c r="AE123" i="16" l="1"/>
  <c r="AE126" i="16" s="1"/>
  <c r="AE119" i="16"/>
  <c r="AF116" i="16" l="1"/>
  <c r="AF124" i="16" l="1"/>
  <c r="AF118" i="16"/>
  <c r="AF123" i="16" l="1"/>
  <c r="AF126" i="16" s="1"/>
  <c r="AF119" i="16"/>
  <c r="AG116" i="16" l="1"/>
  <c r="AG124" i="16" l="1"/>
  <c r="AG118" i="16"/>
  <c r="AG123" i="16" l="1"/>
  <c r="AG126" i="16" s="1"/>
  <c r="AG119" i="16"/>
  <c r="AH116" i="16" l="1"/>
  <c r="AH124" i="16" l="1"/>
  <c r="AH118" i="16"/>
  <c r="AH123" i="16" l="1"/>
  <c r="AH126" i="16" s="1"/>
  <c r="AH119" i="16"/>
  <c r="AI116" i="16" l="1"/>
  <c r="AI124" i="16" l="1"/>
  <c r="AI118" i="16"/>
  <c r="AI123" i="16" l="1"/>
  <c r="AI126" i="16" s="1"/>
  <c r="AI119" i="16"/>
  <c r="AJ116" i="16" l="1"/>
  <c r="AJ124" i="16" l="1"/>
  <c r="AJ118" i="16"/>
  <c r="AJ123" i="16" l="1"/>
  <c r="AJ126" i="16" s="1"/>
  <c r="AJ119" i="16"/>
  <c r="AK116" i="16" l="1"/>
  <c r="AK124" i="16" l="1"/>
  <c r="AK118" i="16"/>
  <c r="AK123" i="16" l="1"/>
  <c r="AK126" i="16" s="1"/>
  <c r="AK119" i="16"/>
  <c r="AL116" i="16" l="1"/>
  <c r="AL124" i="16" l="1"/>
  <c r="AL118" i="16"/>
  <c r="AL123" i="16" l="1"/>
  <c r="AL126" i="16" s="1"/>
  <c r="AL119" i="16"/>
  <c r="AM116" i="16" l="1"/>
  <c r="AM124" i="16" l="1"/>
  <c r="AM118" i="16"/>
  <c r="AM123" i="16" l="1"/>
  <c r="AM126" i="16" s="1"/>
  <c r="AM119" i="16"/>
  <c r="AN116" i="16" l="1"/>
  <c r="AN124" i="16" l="1"/>
  <c r="AN118" i="16"/>
  <c r="AN123" i="16" l="1"/>
  <c r="AN126" i="16" s="1"/>
  <c r="AN119" i="16"/>
  <c r="AO116" i="16" l="1"/>
  <c r="AO124" i="16" l="1"/>
  <c r="AO118" i="16"/>
  <c r="AO123" i="16" l="1"/>
  <c r="AO126" i="16" s="1"/>
  <c r="AO119" i="16"/>
  <c r="AP116" i="16" l="1"/>
  <c r="AP124" i="16" l="1"/>
  <c r="AP118" i="16"/>
  <c r="AP123" i="16" l="1"/>
  <c r="AP126" i="16" s="1"/>
  <c r="AP119" i="16"/>
  <c r="AQ116" i="16" l="1"/>
  <c r="AQ124" i="16" l="1"/>
  <c r="AQ118" i="16"/>
  <c r="AQ123" i="16" l="1"/>
  <c r="AQ126" i="16" s="1"/>
  <c r="AQ119" i="16"/>
  <c r="AR116" i="16" l="1"/>
  <c r="AR124" i="16" l="1"/>
  <c r="AR118" i="16"/>
  <c r="AR123" i="16" l="1"/>
  <c r="AR126" i="16" s="1"/>
  <c r="AR119" i="16"/>
  <c r="AS116" i="16" l="1"/>
  <c r="AS124" i="16" l="1"/>
  <c r="AS118" i="16"/>
  <c r="AS123" i="16" l="1"/>
  <c r="AS126" i="16" s="1"/>
  <c r="AS119" i="16"/>
  <c r="AT116" i="16" l="1"/>
  <c r="AT124" i="16" l="1"/>
  <c r="AT118" i="16"/>
  <c r="AT123" i="16" l="1"/>
  <c r="AT126" i="16" s="1"/>
  <c r="AT119" i="16"/>
  <c r="AU116" i="16" l="1"/>
  <c r="AU124" i="16" l="1"/>
  <c r="AU118" i="16"/>
  <c r="AU123" i="16" l="1"/>
  <c r="AU126" i="16" s="1"/>
  <c r="AU119" i="16"/>
  <c r="AV116" i="16" l="1"/>
  <c r="AV124" i="16" l="1"/>
  <c r="AV118" i="16"/>
  <c r="AV123" i="16" l="1"/>
  <c r="AV126" i="16" s="1"/>
  <c r="AV119" i="16"/>
  <c r="AW116" i="16" l="1"/>
  <c r="AW124" i="16" l="1"/>
  <c r="AW118" i="16"/>
  <c r="AW123" i="16" l="1"/>
  <c r="AW126" i="16" s="1"/>
  <c r="AW119" i="16"/>
  <c r="AX116" i="16" l="1"/>
  <c r="AX124" i="16" l="1"/>
  <c r="AX118" i="16"/>
  <c r="AX123" i="16" l="1"/>
  <c r="AX126" i="16" s="1"/>
  <c r="AX119" i="16"/>
  <c r="AY116" i="16" l="1"/>
  <c r="AY124" i="16" l="1"/>
  <c r="AY118" i="16"/>
  <c r="AY123" i="16" l="1"/>
  <c r="AY126" i="16" s="1"/>
  <c r="AY119" i="16"/>
  <c r="AZ116" i="16" l="1"/>
  <c r="AZ124" i="16" l="1"/>
  <c r="AZ118" i="16"/>
  <c r="AZ123" i="16" l="1"/>
  <c r="AZ126" i="16" s="1"/>
  <c r="AZ119" i="16"/>
  <c r="BA116" i="16" l="1"/>
  <c r="BA124" i="16" l="1"/>
  <c r="BA118" i="16"/>
  <c r="BA123" i="16" l="1"/>
  <c r="BA126" i="16" s="1"/>
  <c r="BA119" i="16"/>
  <c r="BB116" i="16" l="1"/>
  <c r="BB124" i="16" l="1"/>
  <c r="BB118" i="16"/>
  <c r="BB123" i="16" l="1"/>
  <c r="BB126" i="16" s="1"/>
  <c r="BB119" i="16"/>
  <c r="BC116" i="16" l="1"/>
  <c r="BC124" i="16" l="1"/>
  <c r="BC118" i="16"/>
  <c r="BC123" i="16" l="1"/>
  <c r="BC126" i="16" s="1"/>
  <c r="BC119" i="16"/>
  <c r="BD116" i="16" l="1"/>
  <c r="BD124" i="16" l="1"/>
  <c r="BD118" i="16"/>
  <c r="BD123" i="16" l="1"/>
  <c r="BD126" i="16" s="1"/>
  <c r="BD119" i="16"/>
  <c r="BE116" i="16" l="1"/>
  <c r="BE124" i="16" l="1"/>
  <c r="BE118" i="16"/>
  <c r="BE123" i="16" l="1"/>
  <c r="BE126" i="16" s="1"/>
  <c r="BE119" i="16"/>
  <c r="BF116" i="16" l="1"/>
  <c r="BF124" i="16" l="1"/>
  <c r="BF118" i="16"/>
  <c r="BF123" i="16" l="1"/>
  <c r="BF126" i="16" s="1"/>
  <c r="BF119" i="16"/>
  <c r="BG116" i="16" l="1"/>
  <c r="BG124" i="16" l="1"/>
  <c r="BG118" i="16"/>
  <c r="BG123" i="16" l="1"/>
  <c r="BG126" i="16" s="1"/>
  <c r="BG119" i="16"/>
  <c r="BH116" i="16" l="1"/>
  <c r="BH124" i="16" l="1"/>
  <c r="BH118" i="16"/>
  <c r="BH123" i="16" l="1"/>
  <c r="BH126" i="16" s="1"/>
  <c r="BH119" i="16"/>
  <c r="BI116" i="16" l="1"/>
  <c r="BI124" i="16" l="1"/>
  <c r="BI118" i="16"/>
  <c r="BI123" i="16" l="1"/>
  <c r="BI126" i="16" s="1"/>
  <c r="BI119" i="16"/>
  <c r="BJ116" i="16" l="1"/>
  <c r="BJ124" i="16" l="1"/>
  <c r="BJ118" i="16"/>
  <c r="BJ123" i="16" l="1"/>
  <c r="BJ126" i="16" s="1"/>
  <c r="BJ119" i="16"/>
  <c r="BK116" i="16" l="1"/>
  <c r="BK124" i="16" l="1"/>
  <c r="BK118" i="16"/>
  <c r="BK123" i="16" l="1"/>
  <c r="BK126" i="16" s="1"/>
  <c r="BK119" i="16"/>
  <c r="BL116" i="16" l="1"/>
  <c r="BL124" i="16" l="1"/>
  <c r="BL118" i="16"/>
  <c r="BL123" i="16" l="1"/>
  <c r="BL126" i="16" s="1"/>
  <c r="BL119" i="16"/>
  <c r="BM116" i="16" l="1"/>
  <c r="BM124" i="16" l="1"/>
  <c r="BM118" i="16"/>
  <c r="BM123" i="16" l="1"/>
  <c r="BM126" i="16" s="1"/>
  <c r="BM119" i="16"/>
  <c r="BN116" i="16" l="1"/>
  <c r="BN124" i="16" l="1"/>
  <c r="BN118" i="16"/>
  <c r="BN123" i="16" l="1"/>
  <c r="BN126" i="16" s="1"/>
  <c r="BN119" i="16"/>
  <c r="BO116" i="16" l="1"/>
  <c r="BO124" i="16" l="1"/>
  <c r="BO118" i="16"/>
  <c r="BO123" i="16" l="1"/>
  <c r="BO126" i="16" s="1"/>
  <c r="BO119" i="16"/>
  <c r="BP116" i="16" l="1"/>
  <c r="BP124" i="16" l="1"/>
  <c r="BP118" i="16"/>
  <c r="BP123" i="16" l="1"/>
  <c r="BP126" i="16" s="1"/>
  <c r="BP119" i="16"/>
  <c r="BQ116" i="16" l="1"/>
  <c r="BQ124" i="16" l="1"/>
  <c r="BQ118" i="16"/>
  <c r="BQ123" i="16" l="1"/>
  <c r="BQ126" i="16" s="1"/>
  <c r="BQ119" i="16"/>
  <c r="BR116" i="16" l="1"/>
  <c r="BR124" i="16" l="1"/>
  <c r="BR118" i="16"/>
  <c r="BR123" i="16" l="1"/>
  <c r="BR126" i="16" s="1"/>
  <c r="BR119" i="16"/>
  <c r="BS116" i="16" l="1"/>
  <c r="BS124" i="16" l="1"/>
  <c r="BS118" i="16"/>
  <c r="BS123" i="16" l="1"/>
  <c r="BS126" i="16" s="1"/>
  <c r="BS119" i="16"/>
  <c r="BT116" i="16" l="1"/>
  <c r="BT124" i="16" l="1"/>
  <c r="BT118" i="16"/>
  <c r="BT123" i="16" l="1"/>
  <c r="BT126" i="16" s="1"/>
  <c r="BT119" i="16"/>
  <c r="BU116" i="16" l="1"/>
  <c r="BU124" i="16" l="1"/>
  <c r="BU118" i="16"/>
  <c r="BU123" i="16" l="1"/>
  <c r="BU126" i="16" s="1"/>
  <c r="BU119" i="16"/>
  <c r="BV116" i="16" l="1"/>
  <c r="BV124" i="16" l="1"/>
  <c r="BV118" i="16"/>
  <c r="BV123" i="16" l="1"/>
  <c r="BV126" i="16" s="1"/>
  <c r="BV119" i="16"/>
  <c r="BW116" i="16" l="1"/>
  <c r="BW124" i="16" l="1"/>
  <c r="BW118" i="16"/>
  <c r="BW123" i="16" l="1"/>
  <c r="BW126" i="16" s="1"/>
  <c r="BW119" i="16"/>
  <c r="BX116" i="16" l="1"/>
  <c r="BX124" i="16" l="1"/>
  <c r="BX118" i="16"/>
  <c r="BX123" i="16" l="1"/>
  <c r="BX126" i="16" s="1"/>
  <c r="BX119" i="16"/>
  <c r="BY116" i="16" l="1"/>
  <c r="BY124" i="16" l="1"/>
  <c r="BY118" i="16"/>
  <c r="BY123" i="16" l="1"/>
  <c r="BY126" i="16" s="1"/>
  <c r="BY119" i="16"/>
  <c r="BZ116" i="16" l="1"/>
  <c r="BZ124" i="16" l="1"/>
  <c r="BZ118" i="16"/>
  <c r="BZ123" i="16" l="1"/>
  <c r="BZ126" i="16" s="1"/>
  <c r="BZ119" i="16"/>
  <c r="CA116" i="16" l="1"/>
  <c r="CA124" i="16" l="1"/>
  <c r="CA118" i="16"/>
  <c r="CA123" i="16" l="1"/>
  <c r="CA126" i="16" s="1"/>
  <c r="CA119" i="16"/>
  <c r="CB116" i="16" l="1"/>
  <c r="CB124" i="16" l="1"/>
  <c r="CB118" i="16"/>
  <c r="CB123" i="16" l="1"/>
  <c r="CB126" i="16" s="1"/>
  <c r="CB119" i="16"/>
  <c r="CC116" i="16" l="1"/>
  <c r="CC124" i="16" l="1"/>
  <c r="CC118" i="16"/>
  <c r="CC123" i="16" l="1"/>
  <c r="CC126" i="16" s="1"/>
  <c r="CC119" i="16"/>
  <c r="CD116" i="16" l="1"/>
  <c r="CD124" i="16" l="1"/>
  <c r="CD118" i="16"/>
  <c r="CD123" i="16" l="1"/>
  <c r="CD126" i="16" s="1"/>
  <c r="CD119" i="16"/>
  <c r="CE116" i="16" l="1"/>
  <c r="CE124" i="16" l="1"/>
  <c r="CE118" i="16"/>
  <c r="CE123" i="16" l="1"/>
  <c r="CE126" i="16" s="1"/>
  <c r="CE119" i="16"/>
  <c r="CF116" i="16" l="1"/>
  <c r="CF124" i="16" l="1"/>
  <c r="CF118" i="16"/>
  <c r="CF123" i="16" l="1"/>
  <c r="CF126" i="16" s="1"/>
  <c r="CF119" i="16"/>
  <c r="CG116" i="16" l="1"/>
  <c r="CG124" i="16" l="1"/>
  <c r="CG118" i="16"/>
  <c r="CG123" i="16" l="1"/>
  <c r="CG126" i="16" s="1"/>
  <c r="CG119" i="16"/>
  <c r="CH116" i="16" l="1"/>
  <c r="CH124" i="16" l="1"/>
  <c r="CH118" i="16"/>
  <c r="CH123" i="16" l="1"/>
  <c r="CH126" i="16" s="1"/>
  <c r="CH119" i="16"/>
  <c r="CI116" i="16" l="1"/>
  <c r="CI124" i="16" l="1"/>
  <c r="CI118" i="16"/>
  <c r="CI123" i="16" l="1"/>
  <c r="CI126" i="16" s="1"/>
  <c r="CI119" i="16"/>
  <c r="CJ116" i="16" l="1"/>
  <c r="CJ124" i="16" l="1"/>
  <c r="CJ118" i="16"/>
  <c r="CJ123" i="16" l="1"/>
  <c r="CJ126" i="16" s="1"/>
  <c r="CJ119" i="16"/>
  <c r="CK116" i="16" l="1"/>
  <c r="CK124" i="16" l="1"/>
  <c r="D124" i="16" s="1"/>
  <c r="L16" i="19" s="1"/>
  <c r="L17" i="19" s="1"/>
  <c r="CK118" i="16"/>
  <c r="D116" i="16"/>
  <c r="L14" i="19" l="1"/>
  <c r="G34" i="26"/>
  <c r="L13" i="19"/>
  <c r="CK123" i="16"/>
  <c r="D118" i="16"/>
  <c r="CK119" i="16"/>
  <c r="D119" i="16" s="1"/>
  <c r="G35" i="26" l="1"/>
  <c r="J34" i="26"/>
  <c r="D156" i="28" s="1"/>
  <c r="D163" i="28" s="1"/>
  <c r="CK126" i="16"/>
  <c r="C126" i="16" s="1"/>
  <c r="D123" i="16"/>
  <c r="P59" i="28" l="1"/>
  <c r="O38" i="31" l="1"/>
  <c r="O39" i="31" s="1"/>
  <c r="P36" i="31" s="1"/>
  <c r="P38" i="31" l="1"/>
  <c r="P39" i="31" s="1"/>
  <c r="Q36" i="31" s="1"/>
  <c r="Q38" i="31" s="1"/>
  <c r="Q39" i="31" s="1"/>
  <c r="R36" i="31" s="1"/>
  <c r="R38" i="31" s="1"/>
  <c r="R39" i="31" s="1"/>
  <c r="S36" i="31" s="1"/>
  <c r="S38" i="31" s="1"/>
  <c r="S39" i="31" s="1"/>
  <c r="T36" i="31" s="1"/>
  <c r="T38" i="31" s="1"/>
  <c r="T39" i="31" s="1"/>
  <c r="U36" i="31" s="1"/>
  <c r="U38" i="31" s="1"/>
  <c r="U39" i="31" s="1"/>
  <c r="V36" i="31" s="1"/>
  <c r="V38" i="31" s="1"/>
  <c r="V39" i="31" s="1"/>
  <c r="W36" i="31" s="1"/>
  <c r="W38" i="31" s="1"/>
  <c r="W39" i="31" s="1"/>
  <c r="X36" i="31" s="1"/>
  <c r="X38" i="31" s="1"/>
  <c r="X39" i="31" s="1"/>
  <c r="Y36" i="31" s="1"/>
  <c r="Y38" i="31" s="1"/>
  <c r="Y39" i="31" s="1"/>
  <c r="Z36" i="31" s="1"/>
  <c r="Z38" i="31" s="1"/>
  <c r="Z39" i="31" s="1"/>
  <c r="AA36" i="31" s="1"/>
  <c r="AA38" i="31" s="1"/>
  <c r="AA39" i="31" s="1"/>
  <c r="AB36" i="31" s="1"/>
  <c r="AB38" i="31" s="1"/>
  <c r="AB39" i="31" s="1"/>
  <c r="AC36" i="31" s="1"/>
  <c r="AC38" i="31" s="1"/>
  <c r="AC39" i="31" s="1"/>
  <c r="AD36" i="31" s="1"/>
  <c r="AD38" i="31" s="1"/>
  <c r="AD39" i="31" s="1"/>
  <c r="AE36" i="31" s="1"/>
  <c r="AE38" i="31" s="1"/>
  <c r="AE39" i="31" s="1"/>
  <c r="AF36" i="31" s="1"/>
  <c r="AF38" i="31" s="1"/>
  <c r="AF39" i="31" s="1"/>
  <c r="AG36" i="31" s="1"/>
  <c r="AG38" i="31" s="1"/>
  <c r="AG39" i="31" s="1"/>
  <c r="AH36" i="31" s="1"/>
  <c r="AH38" i="31" s="1"/>
  <c r="AH39" i="31" s="1"/>
  <c r="AI36" i="31" s="1"/>
  <c r="AI38" i="31" s="1"/>
  <c r="AI39" i="31" s="1"/>
  <c r="AJ36" i="31" s="1"/>
  <c r="AJ38" i="31" s="1"/>
  <c r="AJ39" i="31" s="1"/>
  <c r="AK36" i="31" s="1"/>
  <c r="AK38" i="31" s="1"/>
  <c r="AK39" i="31" s="1"/>
  <c r="AL36" i="31" s="1"/>
  <c r="AL38" i="31" s="1"/>
  <c r="AL39" i="31" s="1"/>
  <c r="AM36" i="31" s="1"/>
  <c r="AM38" i="31" s="1"/>
  <c r="AM39" i="31" s="1"/>
  <c r="AN36" i="31" s="1"/>
  <c r="AN38" i="31" s="1"/>
  <c r="AN39" i="31" s="1"/>
  <c r="AO36" i="31" s="1"/>
  <c r="AO38" i="31" s="1"/>
  <c r="AO39" i="31" s="1"/>
  <c r="AP36" i="31" s="1"/>
  <c r="AP38" i="31" s="1"/>
  <c r="AP39" i="31" s="1"/>
  <c r="AQ36" i="31" s="1"/>
  <c r="AQ38" i="31" s="1"/>
  <c r="AQ39" i="31" s="1"/>
  <c r="AR36" i="31" s="1"/>
  <c r="AR38" i="31" s="1"/>
  <c r="AR39" i="31" s="1"/>
  <c r="AS36" i="31" s="1"/>
  <c r="AS38" i="31" s="1"/>
  <c r="AS39" i="31" s="1"/>
  <c r="AT36" i="31" s="1"/>
  <c r="AT38" i="31" s="1"/>
  <c r="AT39" i="31" s="1"/>
  <c r="AU36" i="31" s="1"/>
  <c r="AU38" i="31" s="1"/>
  <c r="AU39" i="31" s="1"/>
  <c r="AV36" i="31" s="1"/>
  <c r="AV38" i="31" s="1"/>
  <c r="AV39" i="31" s="1"/>
  <c r="AW36" i="31" s="1"/>
  <c r="AW38" i="31" s="1"/>
  <c r="AW39" i="31" s="1"/>
  <c r="AX36" i="31" s="1"/>
  <c r="AX38" i="31" s="1"/>
  <c r="AX39" i="31" s="1"/>
  <c r="AY36" i="31" s="1"/>
  <c r="AY38" i="31" s="1"/>
  <c r="AY39" i="31" s="1"/>
  <c r="AZ36" i="31" s="1"/>
  <c r="AZ38" i="31" s="1"/>
  <c r="AZ39" i="31" s="1"/>
  <c r="BA36" i="31" s="1"/>
  <c r="BA38" i="31" s="1"/>
  <c r="BA39" i="31" s="1"/>
  <c r="BB36" i="31" s="1"/>
  <c r="BB38" i="31" s="1"/>
  <c r="BB39" i="31" s="1"/>
  <c r="BC36" i="31" s="1"/>
  <c r="BC38" i="31" s="1"/>
  <c r="BC39" i="31" s="1"/>
  <c r="BD36" i="31" s="1"/>
  <c r="BD38" i="31" s="1"/>
  <c r="BD39" i="31" s="1"/>
  <c r="BE36" i="31" s="1"/>
  <c r="BE38" i="31" s="1"/>
  <c r="BE39" i="31" s="1"/>
  <c r="BF36" i="31" s="1"/>
  <c r="BF38" i="31" s="1"/>
  <c r="BF39" i="31" s="1"/>
  <c r="BG36" i="31" s="1"/>
  <c r="BG38" i="31" s="1"/>
  <c r="BG39" i="31" s="1"/>
  <c r="BH36" i="31" s="1"/>
  <c r="BH38" i="31" s="1"/>
  <c r="BH39" i="31" s="1"/>
  <c r="BI36" i="31" s="1"/>
  <c r="BI38" i="31" s="1"/>
  <c r="BI39" i="31" s="1"/>
  <c r="BJ36" i="31" s="1"/>
  <c r="BJ38" i="31" s="1"/>
  <c r="BJ39" i="31" s="1"/>
  <c r="BK36" i="31" s="1"/>
  <c r="BK38" i="31" s="1"/>
  <c r="BK39" i="31" s="1"/>
  <c r="BL36" i="31" s="1"/>
  <c r="BL38" i="31" s="1"/>
  <c r="BL39" i="31" s="1"/>
  <c r="BM36" i="31" s="1"/>
  <c r="BM38" i="31" s="1"/>
  <c r="BM39" i="31" s="1"/>
  <c r="BN36" i="31" s="1"/>
  <c r="BN38" i="31" s="1"/>
  <c r="BN39" i="31" s="1"/>
  <c r="BO36" i="31" s="1"/>
  <c r="BO38" i="31" s="1"/>
  <c r="BO39" i="31" s="1"/>
  <c r="BP36" i="31" s="1"/>
  <c r="BP38" i="31" s="1"/>
  <c r="BP39" i="31" s="1"/>
  <c r="BQ36" i="31" s="1"/>
  <c r="BQ38" i="31" s="1"/>
  <c r="BQ39" i="31" s="1"/>
  <c r="BR36" i="31" s="1"/>
  <c r="BR38" i="31" s="1"/>
  <c r="BR39" i="31" s="1"/>
  <c r="BS36" i="31" s="1"/>
  <c r="BS38" i="31" s="1"/>
  <c r="BS39" i="31" s="1"/>
  <c r="BT36" i="31" s="1"/>
  <c r="BT38" i="31" s="1"/>
  <c r="BT39" i="31" s="1"/>
  <c r="BU36" i="31" s="1"/>
  <c r="BU38" i="31" s="1"/>
  <c r="BU39" i="31" s="1"/>
  <c r="BV36" i="31" s="1"/>
  <c r="BV38" i="31" s="1"/>
  <c r="BV39" i="31" s="1"/>
  <c r="BW36" i="31" s="1"/>
  <c r="BW38" i="31" s="1"/>
  <c r="BW39" i="31" s="1"/>
  <c r="BX36" i="31" s="1"/>
  <c r="BX38" i="31" s="1"/>
  <c r="BX39" i="31" s="1"/>
  <c r="BY36" i="31" s="1"/>
  <c r="BY38" i="31" s="1"/>
  <c r="BY39" i="31" s="1"/>
  <c r="BZ36" i="31" s="1"/>
  <c r="BZ38" i="31" s="1"/>
  <c r="BZ39" i="31" s="1"/>
  <c r="CA36" i="31" s="1"/>
  <c r="CA38" i="31" s="1"/>
  <c r="CA39" i="31" s="1"/>
  <c r="CB36" i="31" s="1"/>
  <c r="CB38" i="31" s="1"/>
  <c r="CB39" i="31" s="1"/>
  <c r="CC36" i="31" s="1"/>
  <c r="CC38" i="31" s="1"/>
  <c r="CC39" i="31" s="1"/>
  <c r="CD36" i="31" s="1"/>
  <c r="CD38" i="31" s="1"/>
  <c r="CD39" i="31" s="1"/>
  <c r="CE36" i="31" s="1"/>
  <c r="CE38" i="31" s="1"/>
  <c r="CE39" i="31" s="1"/>
  <c r="CF36" i="31" s="1"/>
  <c r="CF38" i="31" s="1"/>
  <c r="CF39" i="31" s="1"/>
  <c r="CG36" i="31" s="1"/>
  <c r="CG38" i="31" s="1"/>
  <c r="CG39" i="31" s="1"/>
  <c r="CH36" i="31" s="1"/>
  <c r="CH38" i="31" s="1"/>
  <c r="CH39" i="31" s="1"/>
  <c r="CI36" i="31" s="1"/>
  <c r="CI38" i="31" s="1"/>
  <c r="CI39" i="31" s="1"/>
  <c r="CJ36" i="31" s="1"/>
  <c r="CJ38" i="31" s="1"/>
  <c r="CJ39" i="31" s="1"/>
  <c r="CK36" i="31" s="1"/>
  <c r="CK38" i="31" s="1"/>
  <c r="CK39" i="31" s="1"/>
  <c r="CL36" i="31" s="1"/>
  <c r="CL38" i="31" s="1"/>
  <c r="CL39" i="31" s="1"/>
  <c r="F36" i="31" l="1"/>
  <c r="F38" i="31"/>
  <c r="C24" i="31"/>
  <c r="F24" i="31"/>
  <c r="D24" i="31" l="1"/>
</calcChain>
</file>

<file path=xl/comments1.xml><?xml version="1.0" encoding="utf-8"?>
<comments xmlns="http://schemas.openxmlformats.org/spreadsheetml/2006/main">
  <authors>
    <author>tc={F34DA4EF-BE15-C24F-9085-9A433E1C3855}</author>
  </authors>
  <commentList>
    <comment ref="I12" authorId="0"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80%</t>
        </r>
      </text>
    </comment>
  </commentList>
</comments>
</file>

<file path=xl/comments2.xml><?xml version="1.0" encoding="utf-8"?>
<comments xmlns="http://schemas.openxmlformats.org/spreadsheetml/2006/main">
  <authors>
    <author>tc={4E490B8A-FCE4-FF4A-A94F-51A91C75C28A}</author>
    <author>tc={A03F85B2-46B3-CD4F-9C66-9151AEAB50DA}</author>
    <author>tc={CA7A5270-DE93-084A-93B3-9FC44C12DD3B}</author>
    <author>tc={BCFF1F67-24A9-7947-A70E-792E817118A1}</author>
    <author>tc={AB7F971A-4B1B-FD48-828F-3E2F3049DC00}</author>
    <author>tc={C6F228CB-AEB4-7545-8777-38477EA4A62A}</author>
    <author>tc={07789C54-8B94-A54C-83B1-67FC9716179D}</author>
    <author>tc={45BBA8C6-787D-F24D-B604-8A843B58BA62}</author>
    <author>tc={A09428D5-84D5-6B46-A5CD-BF50E2B55E38}</author>
    <author>tc={73F8FA56-EC97-FD42-867F-2DDA9B07E259}</author>
    <author>tc={BAF54338-6710-174D-BDD5-0D70AA831585}</author>
  </authors>
  <commentList>
    <comment ref="E8" authorId="0"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3504</t>
        </r>
      </text>
    </comment>
    <comment ref="E9" authorId="1"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1167</t>
        </r>
      </text>
    </comment>
    <comment ref="E11" authorId="2"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 ref="F11" authorId="3"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 ref="G11" authorId="4"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 ref="E16" authorId="5"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 ref="F16" authorId="6"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 ref="G16" authorId="7"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 ref="I16" authorId="8"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 ref="J16" authorId="9"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 ref="K16" authorId="10" shapeId="0">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Previously 15%</t>
        </r>
      </text>
    </comment>
  </commentList>
</comments>
</file>

<file path=xl/sharedStrings.xml><?xml version="1.0" encoding="utf-8"?>
<sst xmlns="http://schemas.openxmlformats.org/spreadsheetml/2006/main" count="1816" uniqueCount="955">
  <si>
    <t>dph</t>
  </si>
  <si>
    <t>Residential</t>
  </si>
  <si>
    <t>Employment B2 B8</t>
  </si>
  <si>
    <t>Employment B1</t>
  </si>
  <si>
    <t>Total</t>
  </si>
  <si>
    <t>Yr1</t>
  </si>
  <si>
    <t>Yr2</t>
  </si>
  <si>
    <t>Yr3</t>
  </si>
  <si>
    <t>Yr4</t>
  </si>
  <si>
    <t>Yr5</t>
  </si>
  <si>
    <t>Yr6</t>
  </si>
  <si>
    <t>Yr7</t>
  </si>
  <si>
    <t>Yr8</t>
  </si>
  <si>
    <t>Yr9</t>
  </si>
  <si>
    <t>Yr10</t>
  </si>
  <si>
    <t>Yr11</t>
  </si>
  <si>
    <t>Yr12</t>
  </si>
  <si>
    <t>Yr13</t>
  </si>
  <si>
    <t>Yr14</t>
  </si>
  <si>
    <t>Yr15</t>
  </si>
  <si>
    <t>Yr16</t>
  </si>
  <si>
    <t>Yr17</t>
  </si>
  <si>
    <t>Yr18</t>
  </si>
  <si>
    <t>Yr19</t>
  </si>
  <si>
    <t>Yr20</t>
  </si>
  <si>
    <t>Yr21</t>
  </si>
  <si>
    <t>Yr22</t>
  </si>
  <si>
    <t>Yr23</t>
  </si>
  <si>
    <t>Yr24</t>
  </si>
  <si>
    <t>Yr25</t>
  </si>
  <si>
    <t>Yr26</t>
  </si>
  <si>
    <t>Yr27</t>
  </si>
  <si>
    <t>Yr28</t>
  </si>
  <si>
    <t>Yr29</t>
  </si>
  <si>
    <t>Yr30</t>
  </si>
  <si>
    <t>Yr31</t>
  </si>
  <si>
    <t>Yr32</t>
  </si>
  <si>
    <t>Yr33</t>
  </si>
  <si>
    <t>Yr34</t>
  </si>
  <si>
    <t>Yr35</t>
  </si>
  <si>
    <t>Yr36</t>
  </si>
  <si>
    <t>Yr37</t>
  </si>
  <si>
    <t>Yr38</t>
  </si>
  <si>
    <t>Yr39</t>
  </si>
  <si>
    <t>Average dwellings per hectare</t>
  </si>
  <si>
    <t>Total Dwelling Units</t>
  </si>
  <si>
    <t>Average Household size</t>
  </si>
  <si>
    <t>Total all commercial</t>
  </si>
  <si>
    <t>Storeys</t>
  </si>
  <si>
    <t>Employment B2/B8</t>
  </si>
  <si>
    <t>Employment B1/offices</t>
  </si>
  <si>
    <t>Retail/leisure</t>
  </si>
  <si>
    <t>Total Costs</t>
  </si>
  <si>
    <t>Yr40</t>
  </si>
  <si>
    <t>Contingency</t>
  </si>
  <si>
    <t>15/16</t>
  </si>
  <si>
    <t>20/21</t>
  </si>
  <si>
    <t>25/26</t>
  </si>
  <si>
    <t>30/31</t>
  </si>
  <si>
    <t>35/36</t>
  </si>
  <si>
    <t>40/41</t>
  </si>
  <si>
    <t>45/46</t>
  </si>
  <si>
    <t>50/51</t>
  </si>
  <si>
    <t>Discount Rate (long term &gt;25 yrs)</t>
  </si>
  <si>
    <t>per unit</t>
  </si>
  <si>
    <t>Check</t>
  </si>
  <si>
    <t>Split By Use</t>
  </si>
  <si>
    <t>hectares</t>
  </si>
  <si>
    <t xml:space="preserve">Total Gross Site Area </t>
  </si>
  <si>
    <t>dwellings</t>
  </si>
  <si>
    <t>residents</t>
  </si>
  <si>
    <t>Use</t>
  </si>
  <si>
    <t>Plot Density</t>
  </si>
  <si>
    <t>Sqm per job</t>
  </si>
  <si>
    <t>Total jobs</t>
  </si>
  <si>
    <t>Retail &amp; Leisure</t>
  </si>
  <si>
    <t>Education facilities</t>
  </si>
  <si>
    <t>Community &amp; Health facilities</t>
  </si>
  <si>
    <t>Total Population</t>
  </si>
  <si>
    <t>Profit on sales</t>
  </si>
  <si>
    <t>Sales fees</t>
  </si>
  <si>
    <t>Sales legal fees</t>
  </si>
  <si>
    <t>Marketing costs</t>
  </si>
  <si>
    <t>Professional fees</t>
  </si>
  <si>
    <t>Build cost</t>
  </si>
  <si>
    <t>External works &amp; estate roads</t>
  </si>
  <si>
    <t>Commercial Floorspace</t>
  </si>
  <si>
    <t>Total Site</t>
  </si>
  <si>
    <t>Total Residential Units</t>
  </si>
  <si>
    <t>Total Jobs*</t>
  </si>
  <si>
    <t>*Note additional jobs would be created in community facilities &amp; through construction activity</t>
  </si>
  <si>
    <t>WORKSHEET 1: LANDUSE ASSUMPTIONS</t>
  </si>
  <si>
    <t>Environmental / sustainability / waste</t>
  </si>
  <si>
    <t>Amount</t>
  </si>
  <si>
    <t>Open Spaces, Leisure &amp; Sports facilities/pitches</t>
  </si>
  <si>
    <t>Sub Total</t>
  </si>
  <si>
    <t>Unit/cost</t>
  </si>
  <si>
    <t>Professional Fees</t>
  </si>
  <si>
    <t>Agent</t>
  </si>
  <si>
    <t>Legal Fees</t>
  </si>
  <si>
    <t>Strategic Planning Costs</t>
  </si>
  <si>
    <t>RESIDENTIAL</t>
  </si>
  <si>
    <t>COMMERCIAL</t>
  </si>
  <si>
    <t>SCHEME WIDE ADDITIONAL COST ASSUMPTIONS</t>
  </si>
  <si>
    <t>(on value)</t>
  </si>
  <si>
    <t>Site/Area</t>
  </si>
  <si>
    <t>Cumulative Total</t>
  </si>
  <si>
    <t>WORKSHEET 4: DEVELOPMENT PHASING</t>
  </si>
  <si>
    <t>CAPACITY CHECK</t>
  </si>
  <si>
    <t xml:space="preserve">Total Units </t>
  </si>
  <si>
    <t>Sub Total Sales related fees</t>
  </si>
  <si>
    <t>Less Sales Related Fees</t>
  </si>
  <si>
    <t>Contingencies</t>
  </si>
  <si>
    <t>Rate</t>
  </si>
  <si>
    <t>LAND SALES &amp; RETURNS</t>
  </si>
  <si>
    <t>Land Disposal (Hectares per year)</t>
  </si>
  <si>
    <t>Total Ha</t>
  </si>
  <si>
    <t>(Pro rata)</t>
  </si>
  <si>
    <t>Total Revenue</t>
  </si>
  <si>
    <t>Balance per anum</t>
  </si>
  <si>
    <t>Balance Cumulative</t>
  </si>
  <si>
    <t>On Site: Core Social Infrastructure</t>
  </si>
  <si>
    <t>On Plot: Constructions Costs</t>
  </si>
  <si>
    <t>(on plot calc)</t>
  </si>
  <si>
    <t>Land Sales Returns (£ per year)</t>
  </si>
  <si>
    <t>Project Name</t>
  </si>
  <si>
    <t>Local Authority</t>
  </si>
  <si>
    <t>Date</t>
  </si>
  <si>
    <t>Landuse</t>
  </si>
  <si>
    <t>Development Phasing</t>
  </si>
  <si>
    <t>Infrastructure Phasing</t>
  </si>
  <si>
    <t>Plot Based Appraisals</t>
  </si>
  <si>
    <t>Baseline Appraisal</t>
  </si>
  <si>
    <t>Worksheet Checklist</t>
  </si>
  <si>
    <t>Scheme Promoter</t>
  </si>
  <si>
    <t>SCHEME SUMMARY DATA</t>
  </si>
  <si>
    <t>Site Area &amp; Capacity</t>
  </si>
  <si>
    <t>Total Value</t>
  </si>
  <si>
    <t>BASELINE APPRAISAL KEY DATA</t>
  </si>
  <si>
    <t>PROJECT INFORMATION</t>
  </si>
  <si>
    <t>Average Residential Density</t>
  </si>
  <si>
    <t>Affordable Housing</t>
  </si>
  <si>
    <t>Total scheme population</t>
  </si>
  <si>
    <t>User to define site area, land use breakdown and assumptions on population &amp; jobs impacts</t>
  </si>
  <si>
    <t>User to define housing and commercial floorspace trajectory.</t>
  </si>
  <si>
    <t>Worksheet automatically draws together data from other worksheets to calculate plot based land values</t>
  </si>
  <si>
    <t>REFERENCES</t>
  </si>
  <si>
    <t>Project Reference</t>
  </si>
  <si>
    <t>Document Reference</t>
  </si>
  <si>
    <t>WORKSHEET SUMMARY</t>
  </si>
  <si>
    <t>Project Ref:</t>
  </si>
  <si>
    <t>GARDEN CITY &amp; LARGE SITE FEASIBILITY MODEL</t>
  </si>
  <si>
    <t>SUMMARY COVERSHEET</t>
  </si>
  <si>
    <t>Initial</t>
  </si>
  <si>
    <t>Status</t>
  </si>
  <si>
    <t>User to define timing of infrastructure works and costs.</t>
  </si>
  <si>
    <t>Worksheet automatically draws together data from other worksheets to populate baseline financial appraisal</t>
  </si>
  <si>
    <t>Professional Fees &amp; Other Costs</t>
  </si>
  <si>
    <t>Draft</t>
  </si>
  <si>
    <t>Final</t>
  </si>
  <si>
    <t>Incomplete</t>
  </si>
  <si>
    <t>WORKSHEET 7: BASELINE APPRAISAL</t>
  </si>
  <si>
    <t>Stamp Duty Land Tax</t>
  </si>
  <si>
    <t>Private Type 1</t>
  </si>
  <si>
    <t>AH Type 1</t>
  </si>
  <si>
    <t>AH Type 2</t>
  </si>
  <si>
    <t>AH Type 3</t>
  </si>
  <si>
    <t>Housing Tenure</t>
  </si>
  <si>
    <t>Private Type 2</t>
  </si>
  <si>
    <t>Private Type 3</t>
  </si>
  <si>
    <t>User to define typology</t>
  </si>
  <si>
    <t xml:space="preserve">Of which:  </t>
  </si>
  <si>
    <t>Residential (Private Type 1)</t>
  </si>
  <si>
    <t>Residential (Private Type 2)</t>
  </si>
  <si>
    <t>Residential (Private Type 3)</t>
  </si>
  <si>
    <t>Residential (Affordable Type 1)</t>
  </si>
  <si>
    <t>Residential (Affordable Type 2)</t>
  </si>
  <si>
    <t>Residential (Affordable Type 3)</t>
  </si>
  <si>
    <t>Value (per sqm)</t>
  </si>
  <si>
    <t>P1</t>
  </si>
  <si>
    <t>P2</t>
  </si>
  <si>
    <t>P3</t>
  </si>
  <si>
    <t>AH1</t>
  </si>
  <si>
    <t>AH2</t>
  </si>
  <si>
    <t>AH3</t>
  </si>
  <si>
    <t>CIL Liability</t>
  </si>
  <si>
    <t>Values net of fees</t>
  </si>
  <si>
    <t>Finance Rate (for plot based works)</t>
  </si>
  <si>
    <t>Percentage of cost as debt for finance charges</t>
  </si>
  <si>
    <t>Fees on build value</t>
  </si>
  <si>
    <t>Fees on build costs</t>
  </si>
  <si>
    <t>Value per hectare</t>
  </si>
  <si>
    <t>Residential floorspace average per hectare</t>
  </si>
  <si>
    <t>Residential floorspace average per acre</t>
  </si>
  <si>
    <t>Unit Size</t>
  </si>
  <si>
    <t>Sales related fees</t>
  </si>
  <si>
    <t>Other costs</t>
  </si>
  <si>
    <t>Assumed rent</t>
  </si>
  <si>
    <t>Retail/Leisure</t>
  </si>
  <si>
    <t>(sq m)</t>
  </si>
  <si>
    <t>(per sq m)</t>
  </si>
  <si>
    <t>(on sales value)</t>
  </si>
  <si>
    <t>(on build cost)</t>
  </si>
  <si>
    <t>(£ per sq m)</t>
  </si>
  <si>
    <t>(per sqm)</t>
  </si>
  <si>
    <t>Build Costs (per sqm)</t>
  </si>
  <si>
    <t>Equivalent Capital Value</t>
  </si>
  <si>
    <t>Employment B1 offices</t>
  </si>
  <si>
    <t>Employment B2/B8/industrial</t>
  </si>
  <si>
    <t>On Site</t>
  </si>
  <si>
    <t>Off Site</t>
  </si>
  <si>
    <t>CONTINGENCIES</t>
  </si>
  <si>
    <t>Contingencies by Type</t>
  </si>
  <si>
    <t>WORKSHEET 3: SITE BASED COST &amp; VALUE ASSUMPTIONS</t>
  </si>
  <si>
    <t>User to define site specific costs and end values by development typology</t>
  </si>
  <si>
    <t>Employment B1 /Offices</t>
  </si>
  <si>
    <t>Employment B2 B8 / Industrial</t>
  </si>
  <si>
    <t>Overall Percentage Private Units</t>
  </si>
  <si>
    <t>Overall Percentage Affordable Units</t>
  </si>
  <si>
    <t>sqm / ha</t>
  </si>
  <si>
    <t>sq ft / acre</t>
  </si>
  <si>
    <t>Sqm (gross)</t>
  </si>
  <si>
    <t>Net to gross</t>
  </si>
  <si>
    <t>WORKSHEET 2: SCHEME WIDE COST ASSUMPTIONS</t>
  </si>
  <si>
    <t>Agent Fees (on land sales)</t>
  </si>
  <si>
    <t>Legal Fees (on land sales)</t>
  </si>
  <si>
    <t>SCHEME WIDE OTHER ITEMISED INFRASTRUCTURE</t>
  </si>
  <si>
    <t>SCHEME WIDE COMMUNITY INFRASTRUCTURE</t>
  </si>
  <si>
    <t>Scheme Wide Community Infrastructure</t>
  </si>
  <si>
    <t>Capital value</t>
  </si>
  <si>
    <t>Percentage of cost subject to finance charges</t>
  </si>
  <si>
    <t>Equivalent Land value</t>
  </si>
  <si>
    <t>(£ per ha)</t>
  </si>
  <si>
    <t>B1 / Offices</t>
  </si>
  <si>
    <t>B2, B8 Industrial</t>
  </si>
  <si>
    <t>B1 / Off</t>
  </si>
  <si>
    <t>B2/B8 Ind</t>
  </si>
  <si>
    <t>Employment B2/B8 / Industrial</t>
  </si>
  <si>
    <t>Cost net of fees &amp; CIL liability</t>
  </si>
  <si>
    <t>Finance (equivalent in year)</t>
  </si>
  <si>
    <t>Community Infrastructure Levy Rate</t>
  </si>
  <si>
    <t>Profit on sales (to plot developer)</t>
  </si>
  <si>
    <t>per anum</t>
  </si>
  <si>
    <t>INFLATION</t>
  </si>
  <si>
    <t>Cost inflation: On scheme wide costs</t>
  </si>
  <si>
    <t>Cost inflation: On plot based build costs</t>
  </si>
  <si>
    <t>Value inflation: On plot based building capital values</t>
  </si>
  <si>
    <t>User to define scheme wide cost assumptions, including associated fees, contingencies &amp; inflation</t>
  </si>
  <si>
    <t xml:space="preserve">Scheme Wide Community Infrastructure </t>
  </si>
  <si>
    <t>SCHEME WIDE ENABLING WORKS</t>
  </si>
  <si>
    <t>Scheme Wide Enabling Works</t>
  </si>
  <si>
    <t>Scheme Wide Other Itemised infrastructure - On Site</t>
  </si>
  <si>
    <t>Scheme Wide Other Itemised infrastructure - Off Site</t>
  </si>
  <si>
    <t>All Infrastructure Costs Sub Total</t>
  </si>
  <si>
    <t>Scheme Wide Site Enabling Costs</t>
  </si>
  <si>
    <t>Scheme Wide Other Itemised - On Site</t>
  </si>
  <si>
    <t>Scheme Wide Other Itemised - Off Site</t>
  </si>
  <si>
    <t xml:space="preserve">Total Revenue </t>
  </si>
  <si>
    <t>Total all commercial floorspace</t>
  </si>
  <si>
    <t>Legal fees</t>
  </si>
  <si>
    <t>Finance Rate (for site based works)</t>
  </si>
  <si>
    <t>Profit on sales (to site developer)</t>
  </si>
  <si>
    <t>WORKSHEET 8: SITE VALUES</t>
  </si>
  <si>
    <t>Finance Rate for MIRR</t>
  </si>
  <si>
    <t>Reinvest rate for MIRR</t>
  </si>
  <si>
    <t>IRR (before finance)</t>
  </si>
  <si>
    <t>Modified IRR</t>
  </si>
  <si>
    <t>Net Present Value (before finance)</t>
  </si>
  <si>
    <t>Site Based Cost Assumptions</t>
  </si>
  <si>
    <t xml:space="preserve">Management &amp; Long Term Governance </t>
  </si>
  <si>
    <t>Type</t>
  </si>
  <si>
    <t>Discount Rate (for use in NPV calculations, pre finance costs)</t>
  </si>
  <si>
    <t>General Finance Rate (For Baseline Appraisal)</t>
  </si>
  <si>
    <t>SCHEME WIDE DISCOUNT RATE, FINANCE &amp; MIRR ASSUMPTIONS</t>
  </si>
  <si>
    <t>IRR</t>
  </si>
  <si>
    <t>NPV</t>
  </si>
  <si>
    <t>Infrastructure (incl roads, utilities, community facilities)</t>
  </si>
  <si>
    <t>Open Space (strategic, formal &amp; informal)</t>
  </si>
  <si>
    <t xml:space="preserve">Open Spaces, Leisure &amp; Sports </t>
  </si>
  <si>
    <t xml:space="preserve">Community &amp; Health </t>
  </si>
  <si>
    <t>Education</t>
  </si>
  <si>
    <t>Professional Fees (design &amp; delivery of scheme wide works)</t>
  </si>
  <si>
    <t>- Based upon generic allowance per residential unit</t>
  </si>
  <si>
    <t>- Based upon generic cost per residential unit</t>
  </si>
  <si>
    <t>Enabling</t>
  </si>
  <si>
    <t>Obligation</t>
  </si>
  <si>
    <t>Cost per unit</t>
  </si>
  <si>
    <t>Sub Total All Planning Obligations</t>
  </si>
  <si>
    <t>Sub Total All Enabling Costs</t>
  </si>
  <si>
    <t>Per Unit</t>
  </si>
  <si>
    <t>SUMMARY ALL INFRASTRUCTURE</t>
  </si>
  <si>
    <t>Summary of infra costs (excluding fees, finance &amp; contingencies)</t>
  </si>
  <si>
    <t>Master developer / contractor profit</t>
  </si>
  <si>
    <t>On infrastructure costs (excluding management &amp; gov)</t>
  </si>
  <si>
    <t>Strategic Planning Costs (masterplanning &amp; approvals) - per unit</t>
  </si>
  <si>
    <t>Total scheme job capacity</t>
  </si>
  <si>
    <t xml:space="preserve">Note: </t>
  </si>
  <si>
    <t>The GCLS Model is provided "as is" without warranty of any kind. In no event shall the authors or publishers be liable for any claim, damages or other liability, whether in an action  of contract, tort or otherwise, arising from,</t>
  </si>
  <si>
    <t>Scheme Wide Cost Assumptions</t>
  </si>
  <si>
    <t>Finance Rate (For MIRR calculation)</t>
  </si>
  <si>
    <t>Reinvest rate (For MIRR calculation)</t>
  </si>
  <si>
    <t>Physical Costs: Site Preparation &amp; Enabling Costs</t>
  </si>
  <si>
    <t>Assumed Yield</t>
  </si>
  <si>
    <t>Scheme Wide Cost Inflation factor (if appropriate)</t>
  </si>
  <si>
    <t>out of or in connection with, or the use of or other dealings in the Model. The Model is not intended to replace other viability assessment work required for valuation, local plan making or development management purposes</t>
  </si>
  <si>
    <t xml:space="preserve">No part of this model is a formal RICS 'Red Book' valuation or should be relied upon as such. Users of the Model should consult with their own professional advisers if they wish to obtain advice which they can rely on. </t>
  </si>
  <si>
    <t>Net Present Value</t>
  </si>
  <si>
    <t>Internal Rate of Return</t>
  </si>
  <si>
    <t>(Years spread)</t>
  </si>
  <si>
    <t>Equivalent Residual land value per hectare</t>
  </si>
  <si>
    <t>Number of years Strategic Planning Costs applicable</t>
  </si>
  <si>
    <t>Scheme Year first Strategic Planning Costs accrue</t>
  </si>
  <si>
    <t>(Year)</t>
  </si>
  <si>
    <t>Total All Costs</t>
  </si>
  <si>
    <t>Balance</t>
  </si>
  <si>
    <t>Peak Debt</t>
  </si>
  <si>
    <t>Year cashflow goes positive</t>
  </si>
  <si>
    <t>Before</t>
  </si>
  <si>
    <t>Finance</t>
  </si>
  <si>
    <t xml:space="preserve">With </t>
  </si>
  <si>
    <t>-of which finance charges</t>
  </si>
  <si>
    <t>NA</t>
  </si>
  <si>
    <t>Calculation for average CIL per private unit</t>
  </si>
  <si>
    <t>Per Resi Unit</t>
  </si>
  <si>
    <t>Totals</t>
  </si>
  <si>
    <t>S106 &amp; CIL</t>
  </si>
  <si>
    <t>S106/planning obligations</t>
  </si>
  <si>
    <t>CIL Receipts</t>
  </si>
  <si>
    <t>Scheme Financial Metrics</t>
  </si>
  <si>
    <t>Land Assembly</t>
  </si>
  <si>
    <t>Phase 1</t>
  </si>
  <si>
    <t>Yr41</t>
  </si>
  <si>
    <t>Yr42</t>
  </si>
  <si>
    <t>Yr43</t>
  </si>
  <si>
    <t>Yr44</t>
  </si>
  <si>
    <t>Yr45</t>
  </si>
  <si>
    <t>Yr46</t>
  </si>
  <si>
    <t>Yr47</t>
  </si>
  <si>
    <t>Yr48</t>
  </si>
  <si>
    <t>Yr49</t>
  </si>
  <si>
    <t>Yr50</t>
  </si>
  <si>
    <t>Total all ha (developable area)</t>
  </si>
  <si>
    <t>Total all ha (non developable area)</t>
  </si>
  <si>
    <t>Land &amp; Funding Scenarios</t>
  </si>
  <si>
    <t>User to define alternative scenarios in terms of land, funding inputs and returns/outputs.</t>
  </si>
  <si>
    <t>Land &amp;</t>
  </si>
  <si>
    <t>Funding</t>
  </si>
  <si>
    <t>MASTER DEVELOPER / LDV RETURN</t>
  </si>
  <si>
    <t>Allowance for master-developer/LDV/infra contractor profit</t>
  </si>
  <si>
    <t>17/18</t>
  </si>
  <si>
    <t>18/19</t>
  </si>
  <si>
    <t>19/20</t>
  </si>
  <si>
    <t>21/22</t>
  </si>
  <si>
    <t>22/23</t>
  </si>
  <si>
    <t>23/24</t>
  </si>
  <si>
    <t>24/25</t>
  </si>
  <si>
    <t>26/27</t>
  </si>
  <si>
    <t>27/28</t>
  </si>
  <si>
    <t>% of Scheme Wide Costs debt financed</t>
  </si>
  <si>
    <t>v1.7</t>
  </si>
  <si>
    <t>CIL</t>
  </si>
  <si>
    <t>Stamp Duty Land Tax (realised as part of plot transactions)</t>
  </si>
  <si>
    <t>Masterdeveloper / LDV / infrastructure contractor overhead/profit rate</t>
  </si>
  <si>
    <t>Country Park Landscaping</t>
  </si>
  <si>
    <t>Utilities - Primary Substations, gas &amp; telecoms</t>
  </si>
  <si>
    <t>R1 - A120/B1256 New Western Junction</t>
  </si>
  <si>
    <t>Open Space Endowments</t>
  </si>
  <si>
    <t>A3 Actrive modes link Church Lane - Marks Tey Station</t>
  </si>
  <si>
    <t>PT1a Rapid Transit Loop Bus only roads</t>
  </si>
  <si>
    <t>PT2 Park &amp; Ride</t>
  </si>
  <si>
    <t>Pt3 West Tey Railway Station</t>
  </si>
  <si>
    <t>PT4 West Tey Transit hub</t>
  </si>
  <si>
    <t>Employment support</t>
  </si>
  <si>
    <t>Travel Plan measures</t>
  </si>
  <si>
    <t>Utilities  potable and waste water</t>
  </si>
  <si>
    <t>A2 and A4 Active Modes Copnnections to Rural Hionterland, Cycle Links</t>
  </si>
  <si>
    <t>PR1 &amp; PR2 Marks Tey station and junciton package &amp; Stane Street reduction</t>
  </si>
  <si>
    <t>R2 A12 Zouthern junction with garden commuity</t>
  </si>
  <si>
    <t>Conteribution to A120 £1500 per unit</t>
  </si>
  <si>
    <t>Dwellings</t>
  </si>
  <si>
    <t>Sq m</t>
  </si>
  <si>
    <t>Av price psm</t>
  </si>
  <si>
    <t>£m</t>
  </si>
  <si>
    <t>Total housing</t>
  </si>
  <si>
    <t>Hectares</t>
  </si>
  <si>
    <t>Build cost - residential</t>
  </si>
  <si>
    <t>Build cost - commercial</t>
  </si>
  <si>
    <t>Private sales (dwellings)</t>
  </si>
  <si>
    <t>Total plot developer sales</t>
  </si>
  <si>
    <t>Total plot developer cost</t>
  </si>
  <si>
    <t>Resi private</t>
  </si>
  <si>
    <t>resi social</t>
  </si>
  <si>
    <t>Sales fees 2.5%/.5%/3.5% of sales</t>
  </si>
  <si>
    <t>Developer profit 20%/6%/17.5% of sales</t>
  </si>
  <si>
    <t>B2</t>
  </si>
  <si>
    <t>Retail / leisure</t>
  </si>
  <si>
    <t>B1</t>
  </si>
  <si>
    <t>Resi shared</t>
  </si>
  <si>
    <t>Social housing (50%)</t>
  </si>
  <si>
    <t>Buyer's costs SDLT 5.3%, agent 1% and legal fees.5%</t>
  </si>
  <si>
    <t>External works and estate roads 15%/10%</t>
  </si>
  <si>
    <t>Fees and finance fees 14%/11%</t>
  </si>
  <si>
    <t>Check total</t>
  </si>
  <si>
    <t>Infrastructure</t>
  </si>
  <si>
    <t>Open space 26.5%</t>
  </si>
  <si>
    <t>Infrastructure 15%</t>
  </si>
  <si>
    <t>If payment is only £100k per acre then figure falls to £2.8bn</t>
  </si>
  <si>
    <t xml:space="preserve">Finance charges </t>
  </si>
  <si>
    <t>Resi build per hectare</t>
  </si>
  <si>
    <t>Commercial build per hectare</t>
  </si>
  <si>
    <t>Estate roads per hectare</t>
  </si>
  <si>
    <t>Fees per hectare</t>
  </si>
  <si>
    <t>Sales fees per hectare</t>
  </si>
  <si>
    <t>Developer profit per hectare</t>
  </si>
  <si>
    <t>Residual per hectare</t>
  </si>
  <si>
    <t>Sales per hectare</t>
  </si>
  <si>
    <t>£m per hectare…...................................................</t>
  </si>
  <si>
    <t>Available to pay for land (NPV per acre)</t>
  </si>
  <si>
    <t>previously 1300</t>
  </si>
  <si>
    <t>previously 52%</t>
  </si>
  <si>
    <t>previously 26.5%</t>
  </si>
  <si>
    <t>Previously 15%</t>
  </si>
  <si>
    <t>Previously 2.2%</t>
  </si>
  <si>
    <t>Retail &amp; leisure 3.5%</t>
  </si>
  <si>
    <t>Note enough jobs</t>
  </si>
  <si>
    <t>Previously 80% AH Type 1</t>
  </si>
  <si>
    <t>Previously £20k</t>
  </si>
  <si>
    <t>Previously £9000</t>
  </si>
  <si>
    <t>Previously 2250</t>
  </si>
  <si>
    <t>Previously 2750</t>
  </si>
  <si>
    <t>Including fees contingency and inflation</t>
  </si>
  <si>
    <t>Total Previously 1182.4m</t>
  </si>
  <si>
    <t>Previously £300</t>
  </si>
  <si>
    <t>Previously 6</t>
  </si>
  <si>
    <t>Previously 6%</t>
  </si>
  <si>
    <t>Previously 5%</t>
  </si>
  <si>
    <t>Reference</t>
  </si>
  <si>
    <t>Inflation</t>
  </si>
  <si>
    <t>4% house price inflation is inconsistent with emerging Labour policy for house price stablity</t>
  </si>
  <si>
    <t>4% house price inflation is inconsistent with actual Conservative policy to increase affordability through 300,000 dpa</t>
  </si>
  <si>
    <t>3.5% for infrastucture, 4% for everything else.  Evidence to support?</t>
  </si>
  <si>
    <t>Flat land prices while house prices increase by 23x - unrealistic</t>
  </si>
  <si>
    <t>Needs inflation adjusted discount rate - wrong to assume same interest rates in inflation environment</t>
  </si>
  <si>
    <t>Correct approach:</t>
  </si>
  <si>
    <t>Step 1</t>
  </si>
  <si>
    <t>A plan needs to be based on consistent assumptions.  Massive inconsistencies in inflation figures</t>
  </si>
  <si>
    <t>Adopt BoE target for the general level of inflation</t>
  </si>
  <si>
    <t>Add c.1% extra for build costs (if less for infrastructure provide evidence)</t>
  </si>
  <si>
    <t>Discount using WACC to give NPV per acre</t>
  </si>
  <si>
    <t>Step 2</t>
  </si>
  <si>
    <t>Step 3</t>
  </si>
  <si>
    <t>Step 4</t>
  </si>
  <si>
    <t>Step 5</t>
  </si>
  <si>
    <t>Step 6</t>
  </si>
  <si>
    <t>Changed assumptions</t>
  </si>
  <si>
    <t>Not satisfactory to extrapolate from the past when av house prices are 9x average income</t>
  </si>
  <si>
    <t>Number of houses</t>
  </si>
  <si>
    <t>Number of hectares</t>
  </si>
  <si>
    <t>Selling price £ per sqm private</t>
  </si>
  <si>
    <t>% affordable rent</t>
  </si>
  <si>
    <t>Plot developer profit</t>
  </si>
  <si>
    <t>Social housing incl shared ownership</t>
  </si>
  <si>
    <t>Impact on Residuals</t>
  </si>
  <si>
    <t>Increase residual from 22096 to 27521</t>
  </si>
  <si>
    <t>Increase residual from 22096 to 29141</t>
  </si>
  <si>
    <t>Increase residual from 22096 to 39038</t>
  </si>
  <si>
    <t>Positive because smaller</t>
  </si>
  <si>
    <t>Infrastructure assumptions</t>
  </si>
  <si>
    <t xml:space="preserve">External roads reduction from 15% of cost to 10% </t>
  </si>
  <si>
    <t>Density</t>
  </si>
  <si>
    <t>Positive because denser</t>
  </si>
  <si>
    <t>Density in dwellings per hectare</t>
  </si>
  <si>
    <t xml:space="preserve">Space for 14127 jobs, which is less than 1 job per dwelling.  </t>
  </si>
  <si>
    <t>Jobs</t>
  </si>
  <si>
    <t>Net outward commuting</t>
  </si>
  <si>
    <t>Employment land</t>
  </si>
  <si>
    <t>? Homeworking %.  But still not meeting the targe of 1 job per dwelling</t>
  </si>
  <si>
    <t>Yr0</t>
  </si>
  <si>
    <t>Yr51</t>
  </si>
  <si>
    <t>Yr52</t>
  </si>
  <si>
    <t>Yr53</t>
  </si>
  <si>
    <t>Yr54</t>
  </si>
  <si>
    <t>Yr55</t>
  </si>
  <si>
    <t>Yr56</t>
  </si>
  <si>
    <t>Yr57</t>
  </si>
  <si>
    <t>Yr58</t>
  </si>
  <si>
    <t>Yr59</t>
  </si>
  <si>
    <t>Yr60</t>
  </si>
  <si>
    <t>Yr61</t>
  </si>
  <si>
    <t>Yr62</t>
  </si>
  <si>
    <t>Yr63</t>
  </si>
  <si>
    <t>Yr64</t>
  </si>
  <si>
    <t>Yr65</t>
  </si>
  <si>
    <t>Yr66</t>
  </si>
  <si>
    <t>Yr67</t>
  </si>
  <si>
    <t>Yr68</t>
  </si>
  <si>
    <t>Yr69</t>
  </si>
  <si>
    <t>Yr70</t>
  </si>
  <si>
    <t>Yr71</t>
  </si>
  <si>
    <t>Yr72</t>
  </si>
  <si>
    <t>Yr73</t>
  </si>
  <si>
    <t>Yr74</t>
  </si>
  <si>
    <t>Yr75</t>
  </si>
  <si>
    <t>Yr76</t>
  </si>
  <si>
    <t>Yr77</t>
  </si>
  <si>
    <t>Yr78</t>
  </si>
  <si>
    <t>Yr79</t>
  </si>
  <si>
    <t>Yr80</t>
  </si>
  <si>
    <t>Yr81</t>
  </si>
  <si>
    <t>Yr82</t>
  </si>
  <si>
    <t>4% inflation increases aver price per dwelling for Gt Tey from £360k to £8.3m</t>
  </si>
  <si>
    <t xml:space="preserve"> Hyas 2019</t>
  </si>
  <si>
    <t>Hyas 2017</t>
  </si>
  <si>
    <t>Grants</t>
  </si>
  <si>
    <t>Yr83</t>
  </si>
  <si>
    <t>Yr84</t>
  </si>
  <si>
    <t>Mixed use</t>
  </si>
  <si>
    <t>WOB</t>
  </si>
  <si>
    <t>CBB</t>
  </si>
  <si>
    <t>First plot sold</t>
  </si>
  <si>
    <t>Last plot sold</t>
  </si>
  <si>
    <t>Project length from 2019</t>
  </si>
  <si>
    <t>Private selling price psm</t>
  </si>
  <si>
    <t>Build cost psm</t>
  </si>
  <si>
    <t>TCB</t>
  </si>
  <si>
    <t>% below WOB</t>
  </si>
  <si>
    <t>NEGC costs (excl. housebuilder cost)</t>
  </si>
  <si>
    <t>Per dwelling</t>
  </si>
  <si>
    <t>Plots</t>
  </si>
  <si>
    <t>NEGC  resi sales</t>
  </si>
  <si>
    <t>Blended price per plot</t>
  </si>
  <si>
    <t>Key statistics</t>
  </si>
  <si>
    <t>Not viable</t>
  </si>
  <si>
    <t>Viability at £100000 per acre threshold</t>
  </si>
  <si>
    <t>Comment</t>
  </si>
  <si>
    <t>Increase from 35dph helps viability</t>
  </si>
  <si>
    <t>Viability better for shorter projects - much better.</t>
  </si>
  <si>
    <t>Grant per dwelling</t>
  </si>
  <si>
    <t>TCB1: A120-1333 Link Road</t>
  </si>
  <si>
    <t>Contingency % of cost before contingency</t>
  </si>
  <si>
    <t>Total cost incl contingency £m</t>
  </si>
  <si>
    <t>Total contingency £m</t>
  </si>
  <si>
    <t>Peak debt</t>
  </si>
  <si>
    <t>TCB 1C Referene 40%</t>
  </si>
  <si>
    <t>Year</t>
  </si>
  <si>
    <t>WOB 1C Refeence 40%</t>
  </si>
  <si>
    <t>No inflation peak cash requirement (£m)</t>
  </si>
  <si>
    <t>Inflation scenario peak cash requirement (£m)</t>
  </si>
  <si>
    <t>CBB 2C Grant 40%</t>
  </si>
  <si>
    <t>Land hectares</t>
  </si>
  <si>
    <t>Resi land hectares</t>
  </si>
  <si>
    <t>Utilities: Energy - New 2 x 125 MVA Primary sub stations</t>
  </si>
  <si>
    <t>Utiliites: Energy - 12km 132kv Overhead Line connection</t>
  </si>
  <si>
    <t>Utilities: Electricity Diversion Works</t>
  </si>
  <si>
    <t>Utilities: Potable water - connection to closestst feasible source with capacity</t>
  </si>
  <si>
    <t>Utilities: Telecoms - access chambers for fibre network &amp; associated costs</t>
  </si>
  <si>
    <t>Transport CBB1: Marks Tey rail station &amp; highways improvements</t>
  </si>
  <si>
    <t>Transoport CBB2: Additional Bridges &amp; connectivity across railway</t>
  </si>
  <si>
    <t>Transport CBB3: New junction with A12 &amp; associated highways £41.3m</t>
  </si>
  <si>
    <t>Transport CBB7 : Provision of RTS on site (exclduing intertchanges)</t>
  </si>
  <si>
    <t>Transport CBB8: Provision of wider RTS network off site</t>
  </si>
  <si>
    <t>Transport CBB9: Park &amp; ride &amp; RTS interchanges</t>
  </si>
  <si>
    <t>Transport CBB10: Active Modes links &amp; wider pedestrian/cycle improvements</t>
  </si>
  <si>
    <t>Transport CBB 11 Travel plan measures</t>
  </si>
  <si>
    <t>Other: Long term stewardship endownment</t>
  </si>
  <si>
    <t>Other: Funding for employment &amp; economic development activiites</t>
  </si>
  <si>
    <t>Scheme wide cost inflation factor (if apporpriate)</t>
  </si>
  <si>
    <t>Strategic planning costs</t>
  </si>
  <si>
    <t>Professional fees (applied to costs excluding "others")</t>
  </si>
  <si>
    <t>Master developer / contractor profit on infrastructure costs (excluding "others")</t>
  </si>
  <si>
    <t>Total all costs infrastructure, fees, profit &amp; contingency</t>
  </si>
  <si>
    <t>Transport CBB4: A12 realignmentworks (beyond core scheme) £62.1m</t>
  </si>
  <si>
    <t>Utilities: Gas - upgrade to low pressure gas mains &amp; other related costs</t>
  </si>
  <si>
    <t>Utitlities: Waste Water - upgrade to water course discharges / surface water</t>
  </si>
  <si>
    <t>Scheme Wide enabling works</t>
  </si>
  <si>
    <t>Scheme Wide Community infrastrucrture</t>
  </si>
  <si>
    <t>Scheme wide Other itemised infrastructure</t>
  </si>
  <si>
    <t>Other items</t>
  </si>
  <si>
    <t>Residual value per acre including grant (for WOB and TCB)</t>
  </si>
  <si>
    <t>Utilities: Waste Water - 13km connection to existing works</t>
  </si>
  <si>
    <t>Transport CBB5: A12 Kevedon capacity &amp; junction signatlisation £20.9m</t>
  </si>
  <si>
    <t>Screenshot 40% no inflation</t>
  </si>
  <si>
    <t>Old numbers</t>
  </si>
  <si>
    <t>Year ending 31 March</t>
  </si>
  <si>
    <t>Diff</t>
  </si>
  <si>
    <t>Actual</t>
  </si>
  <si>
    <t>Spread</t>
  </si>
  <si>
    <t>Pro rata exact</t>
  </si>
  <si>
    <t>Pro rata approx</t>
  </si>
  <si>
    <t>% to 2033</t>
  </si>
  <si>
    <t>HARD CODED FROM HYAS APPENDICES</t>
  </si>
  <si>
    <t>DIFF</t>
  </si>
  <si>
    <t>Mixed use (previously retail/ leisure)</t>
  </si>
  <si>
    <t>Implied value per hectare</t>
  </si>
  <si>
    <t>Plot sale values per Hyas No inflation 40%</t>
  </si>
  <si>
    <t>Implied diff psm</t>
  </si>
  <si>
    <t>sqm build per hectare</t>
  </si>
  <si>
    <t>As % of of copst psm</t>
  </si>
  <si>
    <t>As % of sales price</t>
  </si>
  <si>
    <t>As % of vlaue per hectare</t>
  </si>
  <si>
    <t>Sales price psm</t>
  </si>
  <si>
    <t>Cost psm</t>
  </si>
  <si>
    <t>Uplifts on cost</t>
  </si>
  <si>
    <t>Gross Cost psm</t>
  </si>
  <si>
    <t>Margin psm</t>
  </si>
  <si>
    <t>Sq m per hectare</t>
  </si>
  <si>
    <t>Margin per hectare £m</t>
  </si>
  <si>
    <t>Net sales £ psm</t>
  </si>
  <si>
    <t>Mixed</t>
  </si>
  <si>
    <t>Costs calculated on sales</t>
  </si>
  <si>
    <t>Implied diff per hectare = fudge factor</t>
  </si>
  <si>
    <t>s/b 1341 for grant 40%  no inflation</t>
  </si>
  <si>
    <t>Based upon 18571  per residential unit was £20k.  Overlap with 10% within housbuilder model?</t>
  </si>
  <si>
    <t>Educationreduced from £9000 to £8200 per dwelling</t>
  </si>
  <si>
    <t>Community Health &amp; Well Being reduced from 2250 to 1719</t>
  </si>
  <si>
    <t>Open Space reduced from 2750 to 2686</t>
  </si>
  <si>
    <t xml:space="preserve">Environment / sustainability / waste </t>
  </si>
  <si>
    <t>Calculating Fudge factors needed to make no inflation with grant 40% so called contingency model work</t>
  </si>
  <si>
    <t>Fudge Factor inserted by WS to make Hyas model work</t>
  </si>
  <si>
    <t>Hectares per Hyas</t>
  </si>
  <si>
    <t>Value per hectare from Hyas assumptions</t>
  </si>
  <si>
    <t>Calculate value per Hectare from Hyas assumptions</t>
  </si>
  <si>
    <t>Transport CBB12 Investment in early phase public transport services</t>
  </si>
  <si>
    <t>CASHFLOW AFTER Land and FINANCE</t>
  </si>
  <si>
    <t>LAND COSTS</t>
  </si>
  <si>
    <t>Hectares purchsed</t>
  </si>
  <si>
    <t>Land puchase costs per acre</t>
  </si>
  <si>
    <t>s/b £58702</t>
  </si>
  <si>
    <t>Land Costs</t>
  </si>
  <si>
    <t>CASHFLOW BEFORE LAND and FINANCE</t>
  </si>
  <si>
    <t>INFRASTRUCTURE COSTS - see detail on scheme wide sheet</t>
  </si>
  <si>
    <t>s/b-162.8</t>
  </si>
  <si>
    <t>s/b-91.6</t>
  </si>
  <si>
    <t>Plug</t>
  </si>
  <si>
    <t>s/b-143.4</t>
  </si>
  <si>
    <t>Cash flows above</t>
  </si>
  <si>
    <t>Add back interest</t>
  </si>
  <si>
    <t>Add back master developer profiot</t>
  </si>
  <si>
    <t>Pre financing enterprise cash flows</t>
  </si>
  <si>
    <t>Cash flow before land and finance</t>
  </si>
  <si>
    <t>Phasing differences between Gleed and Hyas</t>
  </si>
  <si>
    <t>Note that Gleed assume 2550 houses in phase 1, which maps onto 2029-2037 in the Hyas report</t>
  </si>
  <si>
    <t>Gleed phase 1</t>
  </si>
  <si>
    <t>Hyas before 2037</t>
  </si>
  <si>
    <t>RTS onsite</t>
  </si>
  <si>
    <t>RTS offsite</t>
  </si>
  <si>
    <t>Shortfall £m</t>
  </si>
  <si>
    <t>Total short too - should be 32.6 not 26.6</t>
  </si>
  <si>
    <t>Total OK.  Just phasing</t>
  </si>
  <si>
    <t>No HIF bids</t>
  </si>
  <si>
    <t>Contingency on scheme wide site enabling costs base case 10%</t>
  </si>
  <si>
    <t>Scheme wide community infrastructure base case 10%</t>
  </si>
  <si>
    <t>Contingency on scheme wide other itemised base case 40%</t>
  </si>
  <si>
    <t>No HIF bid=1?</t>
  </si>
  <si>
    <t>Screenshot with inflation</t>
  </si>
  <si>
    <t>InflatIon on professional fees excluded in error</t>
  </si>
  <si>
    <t>Total all Costs (iincl fees &amp; cont) s/b6427 with inflation and 1341 without</t>
  </si>
  <si>
    <t>Total all Land Sales  s/b 2103 no inflation 16490 with inflation</t>
  </si>
  <si>
    <t>s/b 500926</t>
  </si>
  <si>
    <t>Balance per annum s/b zero</t>
  </si>
  <si>
    <t>Balance cumulative s/b zero</t>
  </si>
  <si>
    <t>Hyas circular IRR Calculation - ignore</t>
  </si>
  <si>
    <t>NPV per acre calculation</t>
  </si>
  <si>
    <t>Land Purchase costs (£169.87m or 1448.2 or 1425)</t>
  </si>
  <si>
    <t>Finance Charges (in year, assuming midpoint) s/b 3m</t>
  </si>
  <si>
    <t>Interest on land is now included.  £400m error before</t>
  </si>
  <si>
    <t>Finance Charges (on carry over) s/b 5.985% fudge rate</t>
  </si>
  <si>
    <t>Available to pay for land (future value per acre) £58702</t>
  </si>
  <si>
    <t>s/b4.939</t>
  </si>
  <si>
    <t>s/b.207</t>
  </si>
  <si>
    <t>s/b2.881</t>
  </si>
  <si>
    <t>s/b.428</t>
  </si>
  <si>
    <t>s/b3.970</t>
  </si>
  <si>
    <t>Total money available to pay for plots and infrastructure</t>
  </si>
  <si>
    <t>Fudge factor</t>
  </si>
  <si>
    <t>Social housing</t>
  </si>
  <si>
    <t>Hyas 2019</t>
  </si>
  <si>
    <t>Private</t>
  </si>
  <si>
    <t>Social rent (50% of private sales value)</t>
  </si>
  <si>
    <t>Shared (80% of private sales value)</t>
  </si>
  <si>
    <t>Previous social housing numbers</t>
  </si>
  <si>
    <t>Residual NPV  per acre-  2020  £ per acre</t>
  </si>
  <si>
    <t>Transport CBB6 Contribution to A120 strategic improvments</t>
  </si>
  <si>
    <t>Base inflation case 77235</t>
  </si>
  <si>
    <t>£per acre</t>
  </si>
  <si>
    <t>Social rented hectares at 60% of affordable</t>
  </si>
  <si>
    <t>Social rented hectares at 80% of affordable</t>
  </si>
  <si>
    <t>Social rented residual</t>
  </si>
  <si>
    <t>Shared ownership residual</t>
  </si>
  <si>
    <t>Difference</t>
  </si>
  <si>
    <t>Benefit to appraisal from  reduction in social housing £m</t>
  </si>
  <si>
    <t>Change in social mix</t>
  </si>
  <si>
    <t>Shared ownership (80%)</t>
  </si>
  <si>
    <t>Social</t>
  </si>
  <si>
    <t>Shared</t>
  </si>
  <si>
    <t>Switch from social to shared</t>
  </si>
  <si>
    <t>Residual available for land purchase</t>
  </si>
  <si>
    <t>Inflation methodology is highly volatile  - NPV approach more stable</t>
  </si>
  <si>
    <t>West of Braintree</t>
  </si>
  <si>
    <t>NPV £m</t>
  </si>
  <si>
    <t>Tendring Colchester Borders</t>
  </si>
  <si>
    <t>Hyas Residual per acre</t>
  </si>
  <si>
    <t>Colchester Braintree Borders</t>
  </si>
  <si>
    <t>NPV £ per acre</t>
  </si>
  <si>
    <t>Uses 40% case with grant cash flows before finance and land</t>
  </si>
  <si>
    <t>TCB4: RTS on site</t>
  </si>
  <si>
    <t>TCB5: RTS off site</t>
  </si>
  <si>
    <t>TCB6: Park &amp; Ride</t>
  </si>
  <si>
    <t>Master developer profit</t>
  </si>
  <si>
    <t xml:space="preserve">CBB3: New junction with A12 &amp; associated highways </t>
  </si>
  <si>
    <t xml:space="preserve">CBB4: A12 realignment works (beyond core scheme) </t>
  </si>
  <si>
    <t xml:space="preserve">CBB5: A12 Kelvedon capacity &amp; junction signalisation </t>
  </si>
  <si>
    <t xml:space="preserve">Inflation rate </t>
  </si>
  <si>
    <t>2% for prices?</t>
  </si>
  <si>
    <t>3% for wages?</t>
  </si>
  <si>
    <t>4% for house prices?</t>
  </si>
  <si>
    <t>Av price</t>
  </si>
  <si>
    <t>Multiplier over 80 years</t>
  </si>
  <si>
    <t>Prices in 2098</t>
  </si>
  <si>
    <t>Grant per  acre</t>
  </si>
  <si>
    <t>Finance charges at 6% in £m</t>
  </si>
  <si>
    <t>2033 Debt</t>
  </si>
  <si>
    <t>Worst case 2033  debt with inflation and 40% contingency no grant £m</t>
  </si>
  <si>
    <t>Best case 2033 debt, no inflation, 10% contingency, with grant £m</t>
  </si>
  <si>
    <t>WOB £m</t>
  </si>
  <si>
    <t>CBB £m</t>
  </si>
  <si>
    <t>TCB £m</t>
  </si>
  <si>
    <t>Total £m</t>
  </si>
  <si>
    <t>41000 total</t>
  </si>
  <si>
    <t>2279 x 2.471</t>
  </si>
  <si>
    <t>Population 2.4 per dwelling as per Hyas</t>
  </si>
  <si>
    <t>Cars 1.3 per household</t>
  </si>
  <si>
    <t>Commuters - assuming 1 job per household, 15%</t>
  </si>
  <si>
    <t>Cars 2.3 per household</t>
  </si>
  <si>
    <t>Benefit to wider community</t>
  </si>
  <si>
    <t>Waste</t>
  </si>
  <si>
    <t>Infrastructure funding</t>
  </si>
  <si>
    <t>? Benefit to wider community</t>
  </si>
  <si>
    <t>?Waste - Metro plan ignored</t>
  </si>
  <si>
    <t>Total infrastructure funding requirement</t>
  </si>
  <si>
    <t>% from land value capture</t>
  </si>
  <si>
    <t>Funded from land value capture ie s106 or ownership</t>
  </si>
  <si>
    <t>Less HIF bids</t>
  </si>
  <si>
    <t xml:space="preserve">Notes:  </t>
  </si>
  <si>
    <t>2.  HIF bid figues are as published, not as implied by Hyasa appraisals</t>
  </si>
  <si>
    <t>1.  Total infrastructure funding figures come from Hyas no inflation, no grant, 40% (in fact 13%) contingency scenario</t>
  </si>
  <si>
    <t>Hyas residual (future value)</t>
  </si>
  <si>
    <t>NPV per acre s/b 9335</t>
  </si>
  <si>
    <t>Factor</t>
  </si>
  <si>
    <t>All up front</t>
  </si>
  <si>
    <t>Other</t>
  </si>
  <si>
    <t>100 acre blocks</t>
  </si>
  <si>
    <t>£65.7m grant obtained!</t>
  </si>
  <si>
    <t>£45m grant obtained</t>
  </si>
  <si>
    <t>Extra interest on land</t>
  </si>
  <si>
    <t>Route map from Hyas 2017 to Hyas 2019</t>
  </si>
  <si>
    <t>Reduced residential margin</t>
  </si>
  <si>
    <t>Increased contingency</t>
  </si>
  <si>
    <t>Saving in social rented</t>
  </si>
  <si>
    <t>Saving of plot developer profit (15% not 20%)</t>
  </si>
  <si>
    <t>Reduction in infrastructure</t>
  </si>
  <si>
    <t>Reduction in residential margin</t>
  </si>
  <si>
    <t>Sales price per sq metre</t>
  </si>
  <si>
    <t>Build cost per sq metre</t>
  </si>
  <si>
    <t>% increase</t>
  </si>
  <si>
    <t>Reduction in commercial revenue</t>
  </si>
  <si>
    <t>Employment B1 / offices</t>
  </si>
  <si>
    <t>Employment B1 / offices (hectares)</t>
  </si>
  <si>
    <t>Meployment B2 / B8 (hectares)</t>
  </si>
  <si>
    <t>Retail / leisure (hectares)</t>
  </si>
  <si>
    <t>Total land sale proceeds</t>
  </si>
  <si>
    <t>£m per hectare</t>
  </si>
  <si>
    <t xml:space="preserve">£m  </t>
  </si>
  <si>
    <t xml:space="preserve">Meployment B2 / B8 </t>
  </si>
  <si>
    <t xml:space="preserve">Retail / leisure / mixed use </t>
  </si>
  <si>
    <t>Reduced commercial margin</t>
  </si>
  <si>
    <t>Contingency at 40%</t>
  </si>
  <si>
    <t>Base case, (CBB 40% contingency no inflation)</t>
  </si>
  <si>
    <t>Increase contingency to 40% on all infrastructure</t>
  </si>
  <si>
    <t>£ per acre</t>
  </si>
  <si>
    <t>Residual values per NEAs at higher contingency</t>
  </si>
  <si>
    <t>With grant</t>
  </si>
  <si>
    <t>Weighted Average Cost of Capital for Master Developer</t>
  </si>
  <si>
    <t>Debt</t>
  </si>
  <si>
    <t>Equity</t>
  </si>
  <si>
    <t>Weighted average</t>
  </si>
  <si>
    <t>Financial structure</t>
  </si>
  <si>
    <t>Less land costs</t>
  </si>
  <si>
    <t>Add back master developer profit</t>
  </si>
  <si>
    <t>Cashflows for IRR calcs</t>
  </si>
  <si>
    <t>Cashflows available for land (total £m)</t>
  </si>
  <si>
    <t>Circular</t>
  </si>
  <si>
    <t>Hyas Internal Rate of Return calculations (IRR)</t>
  </si>
  <si>
    <t>Devloper profit as % of  IRR cash flow</t>
  </si>
  <si>
    <t>RTS costs</t>
  </si>
  <si>
    <t xml:space="preserve">On site </t>
  </si>
  <si>
    <t>Off site</t>
  </si>
  <si>
    <t>Per EB079 page 52</t>
  </si>
  <si>
    <t>Total higher investment case</t>
  </si>
  <si>
    <t>Interchanges / transit Hub / P&amp;R</t>
  </si>
  <si>
    <t>RTS capital costs per Hyas EB086</t>
  </si>
  <si>
    <t>Total dwellings</t>
  </si>
  <si>
    <t>First land bought</t>
  </si>
  <si>
    <t>Plots sold by 2033 (target 7500)</t>
  </si>
  <si>
    <t>Plots sold by 2031 (target 7500)</t>
  </si>
  <si>
    <t xml:space="preserve">Plots sold by 2033 </t>
  </si>
  <si>
    <t>Strategic planning costs per Hyas</t>
  </si>
  <si>
    <t>Years</t>
  </si>
  <si>
    <t>2021/3</t>
  </si>
  <si>
    <t>2026/8</t>
  </si>
  <si>
    <t>Costs incurred to date per Colchester Scrutiny Panel briefing 29/8/2019</t>
  </si>
  <si>
    <t>Feb 2016 £250k from each council</t>
  </si>
  <si>
    <t>Sep 2-17 further £250k each</t>
  </si>
  <si>
    <t>Dec 2-18 £100k each</t>
  </si>
  <si>
    <t>Government grants</t>
  </si>
  <si>
    <t>Aug 2010 £350k each</t>
  </si>
  <si>
    <t>Further government grant</t>
  </si>
  <si>
    <t>Total raised to date</t>
  </si>
  <si>
    <t>Plan period</t>
  </si>
  <si>
    <t>Numbers per amended plan</t>
  </si>
  <si>
    <t>NPV per acre at full 40% contingency</t>
  </si>
  <si>
    <t>s/b 9335</t>
  </si>
  <si>
    <t>s/b 25930</t>
  </si>
  <si>
    <t>s/b 79608</t>
  </si>
  <si>
    <t>Hyas residual value with deferred land purchase</t>
  </si>
  <si>
    <t>Deduct grant shortfall</t>
  </si>
  <si>
    <t>Increase contingency to 40% on all infrastructure costs</t>
  </si>
  <si>
    <t>HIF bids</t>
  </si>
  <si>
    <t>HIF bid per acre</t>
  </si>
  <si>
    <t>Benefit of grants shown in the Hyas appraisals</t>
  </si>
  <si>
    <t>Total Benefit in 40% contingency, with grant cases</t>
  </si>
  <si>
    <t>Price payable</t>
  </si>
  <si>
    <t>Cumulator</t>
  </si>
  <si>
    <t>Interest on current year</t>
  </si>
  <si>
    <t>Cash flow after interest</t>
  </si>
  <si>
    <t>Land cost</t>
  </si>
  <si>
    <t>WACC - no inflation</t>
  </si>
  <si>
    <t>WACC -  4% inflation</t>
  </si>
  <si>
    <t xml:space="preserve">Post justification for 6%  </t>
  </si>
  <si>
    <t>Interest  on opening balance</t>
  </si>
  <si>
    <t>s/b zero</t>
  </si>
  <si>
    <t>Price payable (input)</t>
  </si>
  <si>
    <t>Total £ per acre (calc)</t>
  </si>
  <si>
    <t>Evenly spread</t>
  </si>
  <si>
    <t>CBB allocation in hectares</t>
  </si>
  <si>
    <t>Land sales price per hectare ie residual value</t>
  </si>
  <si>
    <t>Private housing</t>
  </si>
  <si>
    <t>Social Rented</t>
  </si>
  <si>
    <t>Shared ownership</t>
  </si>
  <si>
    <t>B1 / offices</t>
  </si>
  <si>
    <t>B2/B8 / Indiustrial</t>
  </si>
  <si>
    <t>Retail / Leisure / Mixed use</t>
  </si>
  <si>
    <t>Switch to NPV so current residuals are compared to current land prices</t>
  </si>
  <si>
    <t>Increase contingency to 40% on all infrastructure costs (cumulative adjustment)</t>
  </si>
  <si>
    <t>Deduct grant shortfall (another cumulative adjustment)</t>
  </si>
  <si>
    <t>Switch to NPV or land purchased in 2020</t>
  </si>
  <si>
    <t>Increase discount rate to 8%</t>
  </si>
  <si>
    <t xml:space="preserve">Note:  Rows 4-26 are the housebuilder model based on the Hyas 'site values' worksheet.  </t>
  </si>
  <si>
    <t xml:space="preserve">          Rows 27-34 summarise the infrastructure provider model.</t>
  </si>
  <si>
    <t xml:space="preserve">          Columns K-P are a reconcilation to check that nothing is missed</t>
  </si>
  <si>
    <t>Residual         NPV per acre £</t>
  </si>
  <si>
    <t>% waste / subsidy for economic inefficiency</t>
  </si>
  <si>
    <t>Sources</t>
  </si>
  <si>
    <t>Grant figures found by deducting infrastructue costs in grant and non grant cases:</t>
  </si>
  <si>
    <t>Table for page 5 of report</t>
  </si>
  <si>
    <t>Table on page 8 of report</t>
  </si>
  <si>
    <t>Table on page 10 of report</t>
  </si>
  <si>
    <t>Close to £153m calculated on consol sheet</t>
  </si>
  <si>
    <t>Consolidated picture... Plot Developer + Infrastructure Developer ….... Variance analysis</t>
  </si>
  <si>
    <t>Volume Adjusted Variance</t>
  </si>
  <si>
    <t>Check £9335 NPV produces roughly the same figure as an interest calculation with land purchased up front</t>
  </si>
  <si>
    <t>Calculate Residual NPV available for land purchase</t>
  </si>
  <si>
    <t>Study NPVs from different land purchase patterns</t>
  </si>
  <si>
    <t>Hyas assumption (2 yrs before)</t>
  </si>
  <si>
    <t>Table on page 13</t>
  </si>
  <si>
    <t>Table on page 14</t>
  </si>
  <si>
    <t>Table on page 18</t>
  </si>
  <si>
    <t>IRR per Hyas</t>
  </si>
  <si>
    <t>Table on page 20</t>
  </si>
  <si>
    <t xml:space="preserve">Table on page 21 </t>
  </si>
  <si>
    <t>Graph on pages 1 and 20</t>
  </si>
  <si>
    <t>Braintree</t>
  </si>
  <si>
    <t>Colchester</t>
  </si>
  <si>
    <t>Tendring</t>
  </si>
  <si>
    <t>Essex</t>
  </si>
  <si>
    <t>MHCLG</t>
  </si>
  <si>
    <t>£000</t>
  </si>
  <si>
    <t>Table on page 26</t>
  </si>
  <si>
    <t>Table on page 27</t>
  </si>
  <si>
    <t xml:space="preserve">Sensitivities with no inflation </t>
  </si>
  <si>
    <t>Table on page 9</t>
  </si>
  <si>
    <t>Sensitivities with inflation - all figures for CBB only</t>
  </si>
  <si>
    <t>Inflation model  £ per acre</t>
  </si>
  <si>
    <t>Non-inflation  model £ per acre</t>
  </si>
  <si>
    <t>See Baseline appraisal sheet cell c134</t>
  </si>
  <si>
    <t>Bring land purchase forward to 2020</t>
  </si>
  <si>
    <t>Increase infrastructure inflation from 3.5% to 4%</t>
  </si>
  <si>
    <t>Inflation assumption is in scheme wide sheet</t>
  </si>
  <si>
    <t>Adjust discount rate for 4% inflation</t>
  </si>
  <si>
    <t>Discount rate is in scheme wide sheet</t>
  </si>
  <si>
    <t>Re-instate HIF funding (removed by Hyas from inflation case)</t>
  </si>
  <si>
    <t>Go to blue cells in scheme wide sheet</t>
  </si>
  <si>
    <t>Deduct inflation on professional fees (omitted by Hyas in error)</t>
  </si>
  <si>
    <t>Special line for inflation in scheme wide sheet, include or exclude in baseline sheet row 89</t>
  </si>
  <si>
    <t>Residual land value available for land purchase now</t>
  </si>
  <si>
    <t>ratioofhousepricetoworkplacebasedearningslowerquartileandmedian</t>
  </si>
  <si>
    <t>Colchester has £230,000 / 26402</t>
  </si>
  <si>
    <t>2016 fiuures</t>
  </si>
  <si>
    <t>78 yr factor</t>
  </si>
  <si>
    <t>2098 figures</t>
  </si>
  <si>
    <t>House prices (median)</t>
  </si>
  <si>
    <t>Earnings (workplace based)</t>
  </si>
  <si>
    <t>Table on page 24 - see detailed calculations on separate inflation spreadsheets</t>
  </si>
  <si>
    <t>say 19x on page 22</t>
  </si>
  <si>
    <t>Route map from Hyas inflation scenario to non inflation</t>
  </si>
  <si>
    <t>Notes on Methodology</t>
  </si>
  <si>
    <t xml:space="preserve">Reduce house prices to reflect increased housing supply. </t>
  </si>
  <si>
    <t xml:space="preserve">Calculate pre-tax nominal cash flows </t>
  </si>
  <si>
    <t>Calculate inflation WACC  - pre-tax nominal</t>
  </si>
  <si>
    <t>Hyas inflation assumptions</t>
  </si>
  <si>
    <t>say £8.3m</t>
  </si>
  <si>
    <t>Conclusion:  it works.  Small discrepancy (9415 to 9335) between interest method and NPV is probably due to mid point year calculation in interest version</t>
  </si>
  <si>
    <t>CAUSE worksheets (Green)</t>
  </si>
  <si>
    <t>Tables</t>
  </si>
  <si>
    <t>DCF analysis</t>
  </si>
  <si>
    <t>Consol</t>
  </si>
  <si>
    <t>Inherited worksheets (Purple)</t>
  </si>
  <si>
    <t>Cover</t>
  </si>
  <si>
    <t>1. Landuse</t>
  </si>
  <si>
    <t>2. Scheme Wide</t>
  </si>
  <si>
    <t>3. Site Based</t>
  </si>
  <si>
    <t>4. Dev Phasing</t>
  </si>
  <si>
    <t>5. Infra phasing</t>
  </si>
  <si>
    <t>6. Baseline appraisal</t>
  </si>
  <si>
    <t>7. Land and funding</t>
  </si>
  <si>
    <t>8. Site Values</t>
  </si>
  <si>
    <t>9. CIL</t>
  </si>
  <si>
    <t>User notes</t>
  </si>
  <si>
    <t>Median house prices / median earnings</t>
  </si>
  <si>
    <t>Inflation reconciliation.  Based on a separate spreadsheet available on request</t>
  </si>
  <si>
    <t>Grant figures implied in Hyas numbers</t>
  </si>
  <si>
    <t>Consolidated picture of the housebuilder + master developer</t>
  </si>
  <si>
    <t>Key inputs for CBB</t>
  </si>
  <si>
    <t>Land use statistics for CBB</t>
  </si>
  <si>
    <t>Scheme wide inputs for CBB + a full infrastructure phasing table</t>
  </si>
  <si>
    <t>Site based cost and value assumptions for CBB</t>
  </si>
  <si>
    <t>Phasing of plot disposals</t>
  </si>
  <si>
    <t>Not used</t>
  </si>
  <si>
    <t>Key sheet.  Includes NPV per hectare</t>
  </si>
  <si>
    <t>Calculation of serviced plot values - housebuilder viewpoint</t>
  </si>
  <si>
    <t>Note used</t>
  </si>
  <si>
    <t>NPV calculations.  Separate sheets for WOB and TCB available on request</t>
  </si>
  <si>
    <t>This work book is based on the standard Hyas model downloaded from publicly available sources and populated with data for West Tey by CAUSE.  The worksheets to the left shaded green have been added.</t>
  </si>
  <si>
    <t>Contents and explanation of the worksheets</t>
  </si>
  <si>
    <t>Summary tables.  Those shaded green are used in the CAUSE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</si>
</sst>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5" formatCode="&quot;£&quot;#,##0;\-&quot;£&quot;#,##0"/>
    <numFmt numFmtId="43" formatCode="_-* #,##0.00_-;\-* #,##0.00_-;_-* &quot;-&quot;??_-;_-@_-"/>
    <numFmt numFmtId="164" formatCode="&quot;£&quot;#,##0_);[Red]\(&quot;£&quot;#,##0\)"/>
    <numFmt numFmtId="165" formatCode="&quot;£&quot;#,##0.00_);[Red]\(&quot;£&quot;#,##0.00\)"/>
    <numFmt numFmtId="166" formatCode="_(* #,##0.00_);_(* \(#,##0.00\);_(* &quot;-&quot;??_);_(@_)"/>
    <numFmt numFmtId="167" formatCode="_-* #,##0_-;\-* #,##0_-;_-* &quot;-&quot;??_-;_-@_-"/>
    <numFmt numFmtId="168" formatCode="0.0%"/>
    <numFmt numFmtId="169" formatCode="0.0"/>
    <numFmt numFmtId="170" formatCode="0\ &quot;ha&quot;"/>
    <numFmt numFmtId="171" formatCode="&quot;£&quot;0.0&quot;m&quot;"/>
    <numFmt numFmtId="172" formatCode="#,##0_ ;\-#,##0\ "/>
    <numFmt numFmtId="173" formatCode="&quot;£&quot;#,##0"/>
    <numFmt numFmtId="174" formatCode="&quot;£&quot;#,##0.00"/>
    <numFmt numFmtId="175" formatCode="&quot;£&quot;#,##0\ &quot;m&quot;"/>
    <numFmt numFmtId="176" formatCode="&quot;£&quot;#,##0.0\ &quot;m&quot;"/>
    <numFmt numFmtId="177" formatCode="&quot;£&quot;#,##0.0"/>
    <numFmt numFmtId="178" formatCode="#,##0\ &quot;ha&quot;"/>
    <numFmt numFmtId="179" formatCode="#,##0.0"/>
    <numFmt numFmtId="180" formatCode="0\ &quot;dph&quot;"/>
    <numFmt numFmtId="181" formatCode="#,##0\ &quot;sqm&quot;"/>
    <numFmt numFmtId="182" formatCode="_-* #,##0.0_-;\-* #,##0.0_-;_-* &quot;-&quot;??_-;_-@_-"/>
    <numFmt numFmtId="183" formatCode="&quot;@&quot;\ 0.0%\ &quot;DR&quot;"/>
    <numFmt numFmtId="184" formatCode="&quot;@&quot;\ 0.0%"/>
    <numFmt numFmtId="185" formatCode="&quot;£&quot;0.000&quot;m&quot;"/>
    <numFmt numFmtId="186" formatCode="0.000"/>
    <numFmt numFmtId="187" formatCode="&quot;£&quot;#,##0.0_);[Red]\(&quot;£&quot;#,##0.0\)"/>
    <numFmt numFmtId="188" formatCode="_(* #,##0.0_);_(* \(#,##0.0\);_(* &quot;-&quot;??_);_(@_)"/>
    <numFmt numFmtId="189" formatCode="#,##0.0_ ;\-#,##0.0\ "/>
    <numFmt numFmtId="190" formatCode="&quot;£&quot;#,##0.000"/>
    <numFmt numFmtId="191" formatCode="#,##0.0\ &quot;ha&quot;"/>
    <numFmt numFmtId="192" formatCode="0.0\ &quot;ha&quot;"/>
    <numFmt numFmtId="193" formatCode="_(* #,##0.00_);_(* \(#,##0.00\);_(* &quot;-&quot;?_);_(@_)"/>
    <numFmt numFmtId="194" formatCode="0.000%"/>
    <numFmt numFmtId="195" formatCode="0.000000000000000000000%"/>
  </numFmts>
  <fonts count="91">
    <font>
      <sz val="10"/>
      <color theme="1"/>
      <name val="Arial"/>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indexed="8"/>
      <name val="Arial"/>
      <family val="2"/>
    </font>
    <font>
      <sz val="8"/>
      <name val="Arial"/>
      <family val="2"/>
    </font>
    <font>
      <i/>
      <sz val="10"/>
      <color theme="1"/>
      <name val="Arial"/>
      <family val="2"/>
    </font>
    <font>
      <b/>
      <sz val="14"/>
      <color theme="1"/>
      <name val="Calibri"/>
      <family val="2"/>
      <scheme val="minor"/>
    </font>
    <font>
      <sz val="10"/>
      <color theme="1"/>
      <name val="Calibri"/>
      <family val="2"/>
      <scheme val="minor"/>
    </font>
    <font>
      <i/>
      <sz val="10"/>
      <color theme="1"/>
      <name val="Calibri"/>
      <family val="2"/>
      <scheme val="minor"/>
    </font>
    <font>
      <sz val="12"/>
      <color theme="1"/>
      <name val="Calibri"/>
      <family val="2"/>
      <scheme val="minor"/>
    </font>
    <font>
      <b/>
      <sz val="10"/>
      <color theme="1"/>
      <name val="Calibri"/>
      <family val="2"/>
      <scheme val="minor"/>
    </font>
    <font>
      <sz val="12"/>
      <color theme="0"/>
      <name val="Calibri"/>
      <family val="2"/>
      <scheme val="minor"/>
    </font>
    <font>
      <b/>
      <sz val="12"/>
      <color theme="0"/>
      <name val="Calibri"/>
      <family val="2"/>
      <scheme val="minor"/>
    </font>
    <font>
      <b/>
      <sz val="10"/>
      <color theme="0"/>
      <name val="Calibri"/>
      <family val="2"/>
      <scheme val="minor"/>
    </font>
    <font>
      <sz val="10"/>
      <name val="Calibri"/>
      <family val="2"/>
      <scheme val="minor"/>
    </font>
    <font>
      <sz val="10"/>
      <color theme="0"/>
      <name val="Calibri"/>
      <family val="2"/>
      <scheme val="minor"/>
    </font>
    <font>
      <sz val="14"/>
      <color theme="0"/>
      <name val="Calibri"/>
      <family val="2"/>
      <scheme val="minor"/>
    </font>
    <font>
      <b/>
      <sz val="14"/>
      <color theme="0"/>
      <name val="Calibri"/>
      <family val="2"/>
      <scheme val="minor"/>
    </font>
    <font>
      <b/>
      <sz val="14"/>
      <name val="Calibri"/>
      <family val="2"/>
      <scheme val="minor"/>
    </font>
    <font>
      <sz val="14"/>
      <name val="Calibri"/>
      <family val="2"/>
      <scheme val="minor"/>
    </font>
    <font>
      <b/>
      <i/>
      <sz val="14"/>
      <color theme="1"/>
      <name val="Calibri"/>
      <family val="2"/>
      <scheme val="minor"/>
    </font>
    <font>
      <i/>
      <sz val="10"/>
      <name val="Calibri"/>
      <family val="2"/>
      <scheme val="minor"/>
    </font>
    <font>
      <b/>
      <sz val="12"/>
      <color theme="1"/>
      <name val="Calibri"/>
      <family val="2"/>
      <scheme val="minor"/>
    </font>
    <font>
      <sz val="9"/>
      <name val="Calibri"/>
      <family val="2"/>
      <scheme val="minor"/>
    </font>
    <font>
      <b/>
      <sz val="12"/>
      <name val="Calibri"/>
      <family val="2"/>
      <scheme val="minor"/>
    </font>
    <font>
      <sz val="18"/>
      <name val="Calibri"/>
      <family val="2"/>
      <scheme val="minor"/>
    </font>
    <font>
      <b/>
      <sz val="18"/>
      <name val="Calibri"/>
      <family val="2"/>
      <scheme val="minor"/>
    </font>
    <font>
      <b/>
      <sz val="14"/>
      <color theme="1" tint="0.34998626667073579"/>
      <name val="Calibri"/>
      <family val="2"/>
      <scheme val="minor"/>
    </font>
    <font>
      <b/>
      <sz val="16"/>
      <color theme="1" tint="0.34998626667073579"/>
      <name val="Calibri"/>
      <family val="2"/>
      <scheme val="minor"/>
    </font>
    <font>
      <sz val="16"/>
      <color theme="1"/>
      <name val="Calibri"/>
      <family val="2"/>
      <scheme val="minor"/>
    </font>
    <font>
      <sz val="10"/>
      <color theme="1" tint="0.34998626667073579"/>
      <name val="Calibri"/>
      <family val="2"/>
      <scheme val="minor"/>
    </font>
    <font>
      <sz val="10"/>
      <name val="Arial"/>
      <family val="2"/>
    </font>
    <font>
      <b/>
      <i/>
      <sz val="10"/>
      <color theme="0"/>
      <name val="Calibri"/>
      <family val="2"/>
      <scheme val="minor"/>
    </font>
    <font>
      <b/>
      <sz val="9"/>
      <color theme="1"/>
      <name val="Calibri"/>
      <family val="2"/>
      <scheme val="minor"/>
    </font>
    <font>
      <sz val="10"/>
      <color theme="0"/>
      <name val="Arial"/>
      <family val="2"/>
    </font>
    <font>
      <i/>
      <sz val="9"/>
      <name val="Calibri"/>
      <family val="2"/>
      <scheme val="minor"/>
    </font>
    <font>
      <b/>
      <sz val="10"/>
      <name val="Calibri"/>
      <family val="2"/>
      <scheme val="minor"/>
    </font>
    <font>
      <sz val="8"/>
      <color theme="1"/>
      <name val="Arial"/>
      <family val="2"/>
    </font>
    <font>
      <sz val="8"/>
      <color theme="1"/>
      <name val="Calibri"/>
      <family val="2"/>
    </font>
    <font>
      <sz val="10"/>
      <color rgb="FF574123"/>
      <name val="Tahoma"/>
      <family val="2"/>
    </font>
    <font>
      <b/>
      <sz val="10"/>
      <color theme="0"/>
      <name val="Arial"/>
      <family val="2"/>
    </font>
    <font>
      <b/>
      <sz val="10"/>
      <color theme="1"/>
      <name val="Arial"/>
      <family val="2"/>
    </font>
    <font>
      <sz val="14"/>
      <color rgb="FFFF0000"/>
      <name val="Calibri"/>
      <family val="2"/>
      <scheme val="minor"/>
    </font>
    <font>
      <u/>
      <sz val="10"/>
      <color theme="10"/>
      <name val="Arial"/>
      <family val="2"/>
    </font>
    <font>
      <u/>
      <sz val="10"/>
      <color theme="11"/>
      <name val="Arial"/>
      <family val="2"/>
    </font>
    <font>
      <sz val="10"/>
      <color theme="1"/>
      <name val="Arial"/>
      <family val="2"/>
    </font>
    <font>
      <sz val="10"/>
      <color rgb="FFFF0000"/>
      <name val="Calibri"/>
      <family val="2"/>
      <scheme val="minor"/>
    </font>
    <font>
      <b/>
      <sz val="10"/>
      <color rgb="FFFF0000"/>
      <name val="Calibri"/>
      <family val="2"/>
      <scheme val="minor"/>
    </font>
    <font>
      <sz val="11"/>
      <color theme="1"/>
      <name val="CIDFont+F2"/>
    </font>
    <font>
      <sz val="8"/>
      <name val="Calibri"/>
      <family val="2"/>
      <scheme val="minor"/>
    </font>
    <font>
      <strike/>
      <sz val="10"/>
      <color theme="1"/>
      <name val="Calibri"/>
      <family val="2"/>
      <scheme val="minor"/>
    </font>
    <font>
      <strike/>
      <sz val="14"/>
      <name val="Calibri"/>
      <family val="2"/>
      <scheme val="minor"/>
    </font>
    <font>
      <b/>
      <strike/>
      <sz val="14"/>
      <color theme="1" tint="0.34998626667073579"/>
      <name val="Calibri"/>
      <family val="2"/>
      <scheme val="minor"/>
    </font>
    <font>
      <b/>
      <strike/>
      <sz val="14"/>
      <name val="Calibri"/>
      <family val="2"/>
      <scheme val="minor"/>
    </font>
    <font>
      <b/>
      <strike/>
      <sz val="18"/>
      <name val="Calibri"/>
      <family val="2"/>
      <scheme val="minor"/>
    </font>
    <font>
      <strike/>
      <sz val="14"/>
      <color theme="0"/>
      <name val="Calibri"/>
      <family val="2"/>
      <scheme val="minor"/>
    </font>
    <font>
      <strike/>
      <sz val="10"/>
      <color theme="1"/>
      <name val="Arial"/>
      <family val="2"/>
    </font>
    <font>
      <i/>
      <strike/>
      <sz val="10"/>
      <color theme="1"/>
      <name val="Calibri"/>
      <family val="2"/>
      <scheme val="minor"/>
    </font>
    <font>
      <strike/>
      <sz val="12"/>
      <color theme="1"/>
      <name val="Calibri"/>
      <family val="2"/>
      <scheme val="minor"/>
    </font>
    <font>
      <b/>
      <strike/>
      <sz val="12"/>
      <color theme="0"/>
      <name val="Calibri"/>
      <family val="2"/>
      <scheme val="minor"/>
    </font>
    <font>
      <strike/>
      <sz val="10"/>
      <color theme="0"/>
      <name val="Calibri"/>
      <family val="2"/>
      <scheme val="minor"/>
    </font>
    <font>
      <strike/>
      <sz val="10"/>
      <name val="Calibri"/>
      <family val="2"/>
      <scheme val="minor"/>
    </font>
    <font>
      <i/>
      <strike/>
      <sz val="10"/>
      <name val="Calibri"/>
      <family val="2"/>
      <scheme val="minor"/>
    </font>
    <font>
      <strike/>
      <sz val="10"/>
      <color rgb="FFFF0000"/>
      <name val="Calibri"/>
      <family val="2"/>
      <scheme val="minor"/>
    </font>
    <font>
      <b/>
      <strike/>
      <sz val="10"/>
      <color theme="1"/>
      <name val="Calibri"/>
      <family val="2"/>
      <scheme val="minor"/>
    </font>
    <font>
      <b/>
      <strike/>
      <sz val="10"/>
      <name val="Calibri"/>
      <family val="2"/>
      <scheme val="minor"/>
    </font>
    <font>
      <sz val="10"/>
      <color rgb="FF000000"/>
      <name val="Calibri"/>
      <family val="2"/>
    </font>
    <font>
      <i/>
      <sz val="8"/>
      <color theme="1"/>
      <name val="Calibri"/>
      <family val="2"/>
      <scheme val="minor"/>
    </font>
    <font>
      <b/>
      <sz val="12"/>
      <color theme="1"/>
      <name val="Arial"/>
      <family val="2"/>
    </font>
    <font>
      <b/>
      <strike/>
      <sz val="9"/>
      <color theme="1"/>
      <name val="Calibri"/>
      <family val="2"/>
      <scheme val="minor"/>
    </font>
    <font>
      <sz val="10"/>
      <color theme="1"/>
      <name val="Calibri (Body)"/>
    </font>
    <font>
      <i/>
      <sz val="12"/>
      <color theme="1"/>
      <name val="Calibri"/>
      <family val="2"/>
      <scheme val="minor"/>
    </font>
    <font>
      <sz val="8"/>
      <color theme="1"/>
      <name val="Calibri"/>
      <family val="2"/>
      <scheme val="minor"/>
    </font>
    <font>
      <sz val="12"/>
      <color theme="1"/>
      <name val="Calibri (Body)"/>
    </font>
    <font>
      <sz val="12"/>
      <name val="Calibri"/>
      <family val="2"/>
      <scheme val="minor"/>
    </font>
    <font>
      <sz val="12"/>
      <color theme="1"/>
      <name val="Arial"/>
      <family val="2"/>
    </font>
    <font>
      <b/>
      <sz val="14"/>
      <color theme="1"/>
      <name val="Arial"/>
      <family val="2"/>
    </font>
    <font>
      <sz val="18"/>
      <color theme="1"/>
      <name val="Calibri"/>
      <family val="2"/>
      <scheme val="minor"/>
    </font>
    <font>
      <sz val="12"/>
      <color rgb="FF000000"/>
      <name val="Helvetica"/>
      <family val="2"/>
    </font>
    <font>
      <b/>
      <i/>
      <u/>
      <sz val="10"/>
      <color theme="1"/>
      <name val="Calibri"/>
      <family val="2"/>
      <scheme val="minor"/>
    </font>
    <font>
      <sz val="10"/>
      <color rgb="FFFF0000"/>
      <name val="Arial"/>
      <family val="2"/>
    </font>
    <font>
      <u/>
      <sz val="10"/>
      <color theme="1"/>
      <name val="Arial"/>
      <family val="2"/>
    </font>
    <font>
      <sz val="11"/>
      <color rgb="FF000000"/>
      <name val="Helvetica Neue"/>
      <family val="2"/>
    </font>
    <font>
      <sz val="9"/>
      <color theme="1"/>
      <name val="Arial"/>
      <family val="2"/>
    </font>
    <font>
      <sz val="10"/>
      <color rgb="FF000000"/>
      <name val="Helvetica Neue"/>
      <family val="2"/>
    </font>
    <font>
      <b/>
      <sz val="16"/>
      <color theme="1"/>
      <name val="Arial"/>
      <family val="2"/>
    </font>
    <font>
      <b/>
      <sz val="18"/>
      <color theme="1"/>
      <name val="Arial"/>
      <family val="2"/>
    </font>
    <font>
      <b/>
      <sz val="20"/>
      <color theme="1"/>
      <name val="Arial"/>
      <family val="2"/>
    </font>
  </fonts>
  <fills count="24">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39997558519241921"/>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6" tint="0.59999389629810485"/>
        <bgColor indexed="64"/>
      </patternFill>
    </fill>
  </fills>
  <borders count="31">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43" fontId="6" fillId="0" borderId="0" applyFont="0" applyFill="0" applyBorder="0" applyAlignment="0" applyProtection="0"/>
    <xf numFmtId="9" fontId="6"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cellStyleXfs>
  <cellXfs count="897">
    <xf numFmtId="0" fontId="0" fillId="0" borderId="0" xfId="0"/>
    <xf numFmtId="0" fontId="9" fillId="2" borderId="0" xfId="0" applyFont="1" applyFill="1"/>
    <xf numFmtId="0" fontId="10" fillId="2" borderId="0" xfId="0" applyFont="1" applyFill="1"/>
    <xf numFmtId="172" fontId="10" fillId="2" borderId="3" xfId="1" applyNumberFormat="1" applyFont="1" applyFill="1" applyBorder="1" applyAlignment="1">
      <alignment horizontal="center"/>
    </xf>
    <xf numFmtId="0" fontId="10" fillId="2" borderId="7" xfId="0" applyFont="1" applyFill="1" applyBorder="1" applyAlignment="1">
      <alignment horizontal="center"/>
    </xf>
    <xf numFmtId="0" fontId="12" fillId="2" borderId="0" xfId="0" applyFont="1" applyFill="1"/>
    <xf numFmtId="0" fontId="10" fillId="2" borderId="0" xfId="0" applyFont="1" applyFill="1" applyAlignment="1">
      <alignment horizontal="center"/>
    </xf>
    <xf numFmtId="0" fontId="12" fillId="2" borderId="0" xfId="0" applyFont="1" applyFill="1" applyBorder="1"/>
    <xf numFmtId="0" fontId="15" fillId="6" borderId="8" xfId="0" applyFont="1" applyFill="1" applyBorder="1"/>
    <xf numFmtId="0" fontId="12" fillId="6" borderId="9" xfId="0" applyFont="1" applyFill="1" applyBorder="1"/>
    <xf numFmtId="0" fontId="12" fillId="6" borderId="7" xfId="0" applyFont="1" applyFill="1" applyBorder="1"/>
    <xf numFmtId="0" fontId="14" fillId="6" borderId="9" xfId="0" applyFont="1" applyFill="1" applyBorder="1"/>
    <xf numFmtId="0" fontId="14" fillId="6" borderId="7" xfId="0" applyFont="1" applyFill="1" applyBorder="1"/>
    <xf numFmtId="0" fontId="10" fillId="5" borderId="8" xfId="0" applyFont="1" applyFill="1" applyBorder="1"/>
    <xf numFmtId="0" fontId="10" fillId="5" borderId="3" xfId="0" applyFont="1" applyFill="1" applyBorder="1"/>
    <xf numFmtId="0" fontId="11" fillId="5" borderId="3" xfId="0" applyFont="1" applyFill="1" applyBorder="1"/>
    <xf numFmtId="168" fontId="11" fillId="5" borderId="3" xfId="0" applyNumberFormat="1" applyFont="1" applyFill="1" applyBorder="1" applyAlignment="1">
      <alignment horizontal="center"/>
    </xf>
    <xf numFmtId="170" fontId="10" fillId="5" borderId="3" xfId="1" applyNumberFormat="1" applyFont="1" applyFill="1" applyBorder="1" applyAlignment="1">
      <alignment horizontal="center"/>
    </xf>
    <xf numFmtId="0" fontId="10" fillId="5" borderId="3" xfId="0" applyFont="1" applyFill="1" applyBorder="1" applyAlignment="1">
      <alignment horizontal="center"/>
    </xf>
    <xf numFmtId="0" fontId="10" fillId="5" borderId="9" xfId="0" applyFont="1" applyFill="1" applyBorder="1" applyAlignment="1">
      <alignment horizontal="center"/>
    </xf>
    <xf numFmtId="0" fontId="10" fillId="5" borderId="7" xfId="0" applyFont="1" applyFill="1" applyBorder="1" applyAlignment="1">
      <alignment horizontal="center"/>
    </xf>
    <xf numFmtId="167" fontId="10" fillId="5" borderId="7" xfId="0" applyNumberFormat="1" applyFont="1" applyFill="1" applyBorder="1" applyAlignment="1">
      <alignment horizontal="center"/>
    </xf>
    <xf numFmtId="0" fontId="15" fillId="6" borderId="9" xfId="0" applyFont="1" applyFill="1" applyBorder="1" applyAlignment="1">
      <alignment horizontal="center"/>
    </xf>
    <xf numFmtId="173" fontId="10" fillId="5" borderId="3" xfId="0" applyNumberFormat="1" applyFont="1" applyFill="1" applyBorder="1" applyAlignment="1">
      <alignment horizontal="center"/>
    </xf>
    <xf numFmtId="0" fontId="13" fillId="2" borderId="0" xfId="0" applyFont="1" applyFill="1"/>
    <xf numFmtId="0" fontId="15" fillId="6" borderId="1" xfId="0" applyFont="1" applyFill="1" applyBorder="1"/>
    <xf numFmtId="0" fontId="10" fillId="5" borderId="7" xfId="0" applyFont="1" applyFill="1" applyBorder="1"/>
    <xf numFmtId="0" fontId="10" fillId="5" borderId="1" xfId="0" applyFont="1" applyFill="1" applyBorder="1"/>
    <xf numFmtId="0" fontId="10" fillId="5" borderId="1" xfId="0" quotePrefix="1" applyFont="1" applyFill="1" applyBorder="1"/>
    <xf numFmtId="0" fontId="15" fillId="6" borderId="14" xfId="0" applyFont="1" applyFill="1" applyBorder="1" applyAlignment="1">
      <alignment horizontal="center"/>
    </xf>
    <xf numFmtId="0" fontId="9" fillId="2" borderId="0" xfId="0" applyFont="1" applyFill="1" applyAlignment="1">
      <alignment horizontal="center"/>
    </xf>
    <xf numFmtId="0" fontId="13" fillId="2" borderId="0" xfId="0" applyFont="1" applyFill="1" applyAlignment="1">
      <alignment horizontal="center"/>
    </xf>
    <xf numFmtId="170" fontId="10" fillId="5" borderId="5" xfId="1" applyNumberFormat="1" applyFont="1" applyFill="1" applyBorder="1" applyAlignment="1">
      <alignment horizontal="center"/>
    </xf>
    <xf numFmtId="0" fontId="15" fillId="6" borderId="7" xfId="0" applyFont="1" applyFill="1" applyBorder="1" applyAlignment="1">
      <alignment horizontal="center"/>
    </xf>
    <xf numFmtId="0" fontId="10" fillId="5" borderId="12" xfId="0" applyFont="1" applyFill="1" applyBorder="1"/>
    <xf numFmtId="0" fontId="10" fillId="5" borderId="14" xfId="0" applyFont="1" applyFill="1" applyBorder="1" applyAlignment="1">
      <alignment horizontal="center"/>
    </xf>
    <xf numFmtId="0" fontId="10" fillId="5" borderId="10" xfId="0" applyFont="1" applyFill="1" applyBorder="1" applyAlignment="1">
      <alignment horizontal="center"/>
    </xf>
    <xf numFmtId="0" fontId="10" fillId="5" borderId="15" xfId="0" applyFont="1" applyFill="1" applyBorder="1" applyAlignment="1">
      <alignment horizontal="center"/>
    </xf>
    <xf numFmtId="0" fontId="10" fillId="5" borderId="13" xfId="0" applyFont="1" applyFill="1" applyBorder="1" applyAlignment="1">
      <alignment horizontal="center"/>
    </xf>
    <xf numFmtId="0" fontId="10" fillId="5" borderId="4" xfId="0" applyFont="1" applyFill="1" applyBorder="1"/>
    <xf numFmtId="0" fontId="10" fillId="5" borderId="0" xfId="0" applyFont="1" applyFill="1" applyBorder="1" applyAlignment="1">
      <alignment horizontal="center"/>
    </xf>
    <xf numFmtId="0" fontId="10" fillId="0" borderId="0" xfId="0" applyFont="1"/>
    <xf numFmtId="10" fontId="10" fillId="0" borderId="0" xfId="0" applyNumberFormat="1" applyFont="1"/>
    <xf numFmtId="0" fontId="15" fillId="6" borderId="14" xfId="0" applyFont="1" applyFill="1" applyBorder="1" applyAlignment="1"/>
    <xf numFmtId="0" fontId="10" fillId="5" borderId="3" xfId="0" applyFont="1" applyFill="1" applyBorder="1" applyAlignment="1"/>
    <xf numFmtId="0" fontId="10" fillId="0" borderId="0" xfId="0" applyFont="1" applyAlignment="1">
      <alignment horizontal="center"/>
    </xf>
    <xf numFmtId="0" fontId="11" fillId="2" borderId="0" xfId="0" applyFont="1" applyFill="1" applyBorder="1"/>
    <xf numFmtId="0" fontId="17" fillId="0" borderId="0" xfId="0" applyFont="1"/>
    <xf numFmtId="167" fontId="10" fillId="0" borderId="0" xfId="1" applyNumberFormat="1" applyFont="1"/>
    <xf numFmtId="167" fontId="10" fillId="0" borderId="0" xfId="0" applyNumberFormat="1" applyFont="1"/>
    <xf numFmtId="0" fontId="10" fillId="5" borderId="8" xfId="0" quotePrefix="1" applyFont="1" applyFill="1" applyBorder="1"/>
    <xf numFmtId="0" fontId="10" fillId="5" borderId="12" xfId="0" quotePrefix="1" applyFont="1" applyFill="1" applyBorder="1"/>
    <xf numFmtId="0" fontId="15" fillId="6" borderId="3" xfId="0" applyFont="1" applyFill="1" applyBorder="1"/>
    <xf numFmtId="0" fontId="15" fillId="6" borderId="3" xfId="0" applyFont="1" applyFill="1" applyBorder="1" applyAlignment="1">
      <alignment horizontal="center"/>
    </xf>
    <xf numFmtId="0" fontId="22" fillId="2" borderId="0" xfId="0" applyFont="1" applyFill="1"/>
    <xf numFmtId="0" fontId="18" fillId="2" borderId="0" xfId="0" applyFont="1" applyFill="1"/>
    <xf numFmtId="168" fontId="10" fillId="5" borderId="3" xfId="2" applyNumberFormat="1" applyFont="1" applyFill="1" applyBorder="1" applyAlignment="1">
      <alignment horizontal="center"/>
    </xf>
    <xf numFmtId="0" fontId="11" fillId="2" borderId="0" xfId="0" applyFont="1" applyFill="1" applyAlignment="1">
      <alignment horizontal="center"/>
    </xf>
    <xf numFmtId="0" fontId="23" fillId="2" borderId="0" xfId="0" applyFont="1" applyFill="1" applyAlignment="1">
      <alignment horizontal="center"/>
    </xf>
    <xf numFmtId="0" fontId="24" fillId="0" borderId="0" xfId="0" applyFont="1"/>
    <xf numFmtId="0" fontId="11" fillId="0" borderId="0" xfId="0" applyFont="1"/>
    <xf numFmtId="0" fontId="11" fillId="0" borderId="0" xfId="0" applyFont="1" applyAlignment="1">
      <alignment horizontal="center"/>
    </xf>
    <xf numFmtId="0" fontId="25" fillId="5" borderId="3" xfId="0" quotePrefix="1" applyFont="1" applyFill="1" applyBorder="1"/>
    <xf numFmtId="0" fontId="25" fillId="5" borderId="3" xfId="0" applyFont="1" applyFill="1" applyBorder="1"/>
    <xf numFmtId="0" fontId="25" fillId="2" borderId="3" xfId="0" applyFont="1" applyFill="1" applyBorder="1"/>
    <xf numFmtId="0" fontId="14" fillId="7" borderId="3" xfId="0" applyFont="1" applyFill="1" applyBorder="1" applyAlignment="1">
      <alignment horizontal="center"/>
    </xf>
    <xf numFmtId="0" fontId="14" fillId="7" borderId="7" xfId="0" applyFont="1" applyFill="1" applyBorder="1" applyAlignment="1">
      <alignment horizontal="center"/>
    </xf>
    <xf numFmtId="0" fontId="14" fillId="7" borderId="8" xfId="0" applyFont="1" applyFill="1" applyBorder="1" applyAlignment="1">
      <alignment horizontal="center"/>
    </xf>
    <xf numFmtId="0" fontId="25" fillId="5" borderId="1" xfId="0" quotePrefix="1" applyFont="1" applyFill="1" applyBorder="1"/>
    <xf numFmtId="0" fontId="25" fillId="5" borderId="14" xfId="0" applyFont="1" applyFill="1" applyBorder="1"/>
    <xf numFmtId="0" fontId="25" fillId="5" borderId="10" xfId="0" applyFont="1" applyFill="1" applyBorder="1"/>
    <xf numFmtId="0" fontId="25" fillId="2" borderId="1" xfId="0" applyFont="1" applyFill="1" applyBorder="1"/>
    <xf numFmtId="0" fontId="25" fillId="2" borderId="14" xfId="0" applyFont="1" applyFill="1" applyBorder="1"/>
    <xf numFmtId="0" fontId="25" fillId="2" borderId="10" xfId="0" applyFont="1" applyFill="1" applyBorder="1"/>
    <xf numFmtId="0" fontId="25" fillId="5" borderId="1" xfId="0" applyFont="1" applyFill="1" applyBorder="1"/>
    <xf numFmtId="3" fontId="17" fillId="0" borderId="0" xfId="0" applyNumberFormat="1" applyFont="1" applyBorder="1" applyAlignment="1">
      <alignment horizontal="center"/>
    </xf>
    <xf numFmtId="0" fontId="17" fillId="5" borderId="3" xfId="0" applyFont="1" applyFill="1" applyBorder="1"/>
    <xf numFmtId="0" fontId="17" fillId="0" borderId="8" xfId="0" applyFont="1" applyBorder="1"/>
    <xf numFmtId="0" fontId="10" fillId="0" borderId="9" xfId="0" applyFont="1" applyBorder="1"/>
    <xf numFmtId="0" fontId="10" fillId="0" borderId="7" xfId="0" applyFont="1" applyBorder="1"/>
    <xf numFmtId="0" fontId="17" fillId="0" borderId="1" xfId="0" applyFont="1" applyBorder="1"/>
    <xf numFmtId="0" fontId="10" fillId="0" borderId="14" xfId="0" applyFont="1" applyBorder="1"/>
    <xf numFmtId="0" fontId="10" fillId="0" borderId="10" xfId="0" applyFont="1" applyBorder="1"/>
    <xf numFmtId="0" fontId="17" fillId="0" borderId="12" xfId="0" applyFont="1" applyBorder="1"/>
    <xf numFmtId="0" fontId="10" fillId="0" borderId="15" xfId="0" applyFont="1" applyBorder="1"/>
    <xf numFmtId="0" fontId="10" fillId="0" borderId="13" xfId="0" applyFont="1" applyBorder="1"/>
    <xf numFmtId="3" fontId="17" fillId="8" borderId="3" xfId="0" applyNumberFormat="1" applyFont="1" applyFill="1" applyBorder="1" applyAlignment="1">
      <alignment horizontal="center"/>
    </xf>
    <xf numFmtId="3" fontId="24" fillId="8" borderId="3" xfId="0" applyNumberFormat="1" applyFont="1" applyFill="1" applyBorder="1" applyAlignment="1">
      <alignment horizontal="center"/>
    </xf>
    <xf numFmtId="176" fontId="17" fillId="5" borderId="3" xfId="0" applyNumberFormat="1" applyFont="1" applyFill="1" applyBorder="1" applyAlignment="1">
      <alignment horizontal="center"/>
    </xf>
    <xf numFmtId="176" fontId="10" fillId="5" borderId="3" xfId="0" applyNumberFormat="1" applyFont="1" applyFill="1" applyBorder="1" applyAlignment="1">
      <alignment horizontal="center"/>
    </xf>
    <xf numFmtId="168" fontId="10" fillId="5" borderId="3" xfId="0" applyNumberFormat="1" applyFont="1" applyFill="1" applyBorder="1" applyAlignment="1">
      <alignment horizontal="center"/>
    </xf>
    <xf numFmtId="169" fontId="10" fillId="5" borderId="3" xfId="0" applyNumberFormat="1" applyFont="1" applyFill="1" applyBorder="1" applyAlignment="1">
      <alignment horizontal="center"/>
    </xf>
    <xf numFmtId="0" fontId="10" fillId="0" borderId="0" xfId="0" applyFont="1" applyAlignment="1"/>
    <xf numFmtId="0" fontId="9" fillId="0" borderId="0" xfId="0" applyFont="1" applyFill="1" applyBorder="1" applyAlignment="1">
      <alignment horizont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10" fillId="0" borderId="0" xfId="0" applyFont="1" applyFill="1" applyBorder="1"/>
    <xf numFmtId="0" fontId="10" fillId="0" borderId="0" xfId="0" applyFont="1" applyFill="1" applyBorder="1" applyAlignment="1">
      <alignment horizontal="right"/>
    </xf>
    <xf numFmtId="10" fontId="10" fillId="5" borderId="3" xfId="0" applyNumberFormat="1" applyFont="1" applyFill="1" applyBorder="1" applyAlignment="1"/>
    <xf numFmtId="0" fontId="10" fillId="0" borderId="0" xfId="0" applyFont="1" applyAlignment="1">
      <alignment horizontal="right"/>
    </xf>
    <xf numFmtId="169" fontId="10" fillId="0" borderId="0" xfId="0" applyNumberFormat="1" applyFont="1" applyFill="1" applyBorder="1" applyAlignment="1">
      <alignment horizontal="right"/>
    </xf>
    <xf numFmtId="0" fontId="12" fillId="0" borderId="0" xfId="0" applyFont="1" applyFill="1" applyBorder="1" applyAlignment="1">
      <alignment horizontal="right"/>
    </xf>
    <xf numFmtId="175" fontId="10" fillId="5" borderId="3" xfId="0" applyNumberFormat="1" applyFont="1" applyFill="1" applyBorder="1" applyAlignment="1">
      <alignment horizontal="center"/>
    </xf>
    <xf numFmtId="169" fontId="17" fillId="5" borderId="3" xfId="0" applyNumberFormat="1" applyFont="1" applyFill="1" applyBorder="1" applyAlignment="1">
      <alignment horizontal="center"/>
    </xf>
    <xf numFmtId="0" fontId="13" fillId="0" borderId="0" xfId="0" applyFont="1"/>
    <xf numFmtId="0" fontId="25" fillId="2" borderId="0" xfId="0" applyFont="1" applyFill="1"/>
    <xf numFmtId="0" fontId="25" fillId="0" borderId="0" xfId="0" applyFont="1" applyFill="1" applyBorder="1" applyAlignment="1">
      <alignment horizontal="right"/>
    </xf>
    <xf numFmtId="0" fontId="18" fillId="7" borderId="3" xfId="0" applyFont="1" applyFill="1" applyBorder="1" applyAlignment="1">
      <alignment horizontal="center"/>
    </xf>
    <xf numFmtId="0" fontId="18" fillId="7" borderId="7" xfId="0" applyFont="1" applyFill="1" applyBorder="1" applyAlignment="1">
      <alignment horizontal="center"/>
    </xf>
    <xf numFmtId="0" fontId="18" fillId="7" borderId="8" xfId="0" applyFont="1" applyFill="1" applyBorder="1" applyAlignment="1">
      <alignment horizontal="center"/>
    </xf>
    <xf numFmtId="3" fontId="17" fillId="5" borderId="3" xfId="0" applyNumberFormat="1" applyFont="1" applyFill="1" applyBorder="1" applyAlignment="1">
      <alignment horizontal="center"/>
    </xf>
    <xf numFmtId="179" fontId="10" fillId="5" borderId="3" xfId="0" applyNumberFormat="1" applyFont="1" applyFill="1" applyBorder="1" applyAlignment="1">
      <alignment horizontal="center"/>
    </xf>
    <xf numFmtId="178" fontId="10" fillId="5" borderId="7" xfId="0" applyNumberFormat="1" applyFont="1" applyFill="1" applyBorder="1" applyAlignment="1">
      <alignment horizontal="center"/>
    </xf>
    <xf numFmtId="0" fontId="15" fillId="6" borderId="10" xfId="0" applyFont="1" applyFill="1" applyBorder="1" applyAlignment="1">
      <alignment horizontal="center"/>
    </xf>
    <xf numFmtId="0" fontId="10" fillId="5" borderId="12" xfId="0" applyFont="1" applyFill="1" applyBorder="1" applyAlignment="1"/>
    <xf numFmtId="0" fontId="10" fillId="5" borderId="13" xfId="0" applyFont="1" applyFill="1" applyBorder="1" applyAlignment="1">
      <alignment horizontal="right"/>
    </xf>
    <xf numFmtId="0" fontId="10" fillId="5" borderId="1" xfId="0" applyFont="1" applyFill="1" applyBorder="1" applyAlignment="1"/>
    <xf numFmtId="178" fontId="10" fillId="5" borderId="10" xfId="0" applyNumberFormat="1" applyFont="1" applyFill="1" applyBorder="1" applyAlignment="1">
      <alignment horizontal="right"/>
    </xf>
    <xf numFmtId="178" fontId="10" fillId="5" borderId="13" xfId="0" applyNumberFormat="1" applyFont="1" applyFill="1" applyBorder="1" applyAlignment="1">
      <alignment horizontal="right"/>
    </xf>
    <xf numFmtId="178" fontId="10" fillId="5" borderId="7" xfId="0" applyNumberFormat="1" applyFont="1" applyFill="1" applyBorder="1" applyAlignment="1">
      <alignment horizontal="right"/>
    </xf>
    <xf numFmtId="0" fontId="10" fillId="5" borderId="13" xfId="0" applyFont="1" applyFill="1" applyBorder="1"/>
    <xf numFmtId="0" fontId="10" fillId="5" borderId="9" xfId="0" applyFont="1" applyFill="1" applyBorder="1"/>
    <xf numFmtId="176" fontId="10" fillId="5" borderId="5" xfId="1" applyNumberFormat="1" applyFont="1" applyFill="1" applyBorder="1" applyAlignment="1">
      <alignment horizontal="center"/>
    </xf>
    <xf numFmtId="176" fontId="10" fillId="5" borderId="3" xfId="1" applyNumberFormat="1" applyFont="1" applyFill="1" applyBorder="1" applyAlignment="1">
      <alignment horizontal="center"/>
    </xf>
    <xf numFmtId="0" fontId="10" fillId="5" borderId="8" xfId="0" applyFont="1" applyFill="1" applyBorder="1" applyAlignment="1"/>
    <xf numFmtId="0" fontId="10" fillId="5" borderId="7" xfId="0" applyFont="1" applyFill="1" applyBorder="1" applyAlignment="1">
      <alignment horizontal="right"/>
    </xf>
    <xf numFmtId="168" fontId="10" fillId="5" borderId="2" xfId="0" applyNumberFormat="1" applyFont="1" applyFill="1" applyBorder="1" applyAlignment="1">
      <alignment horizontal="center"/>
    </xf>
    <xf numFmtId="168" fontId="10" fillId="5" borderId="7" xfId="0" applyNumberFormat="1" applyFont="1" applyFill="1" applyBorder="1" applyAlignment="1">
      <alignment horizontal="center"/>
    </xf>
    <xf numFmtId="3" fontId="10" fillId="5" borderId="3" xfId="0" applyNumberFormat="1" applyFont="1" applyFill="1" applyBorder="1" applyAlignment="1">
      <alignment horizontal="center"/>
    </xf>
    <xf numFmtId="0" fontId="27" fillId="5" borderId="8" xfId="0" applyFont="1" applyFill="1" applyBorder="1" applyAlignment="1">
      <alignment horizontal="left"/>
    </xf>
    <xf numFmtId="0" fontId="27" fillId="5" borderId="7" xfId="0" applyFont="1" applyFill="1" applyBorder="1" applyAlignment="1">
      <alignment horizontal="center"/>
    </xf>
    <xf numFmtId="169" fontId="27" fillId="5" borderId="3" xfId="0" applyNumberFormat="1" applyFont="1" applyFill="1" applyBorder="1" applyAlignment="1">
      <alignment horizontal="center"/>
    </xf>
    <xf numFmtId="0" fontId="17" fillId="5" borderId="12" xfId="0" applyFont="1" applyFill="1" applyBorder="1" applyAlignment="1">
      <alignment horizontal="left"/>
    </xf>
    <xf numFmtId="0" fontId="17" fillId="5" borderId="13" xfId="0" applyFont="1" applyFill="1" applyBorder="1" applyAlignment="1">
      <alignment horizontal="center"/>
    </xf>
    <xf numFmtId="0" fontId="17" fillId="5" borderId="8" xfId="0" applyFont="1" applyFill="1" applyBorder="1" applyAlignment="1">
      <alignment horizontal="left"/>
    </xf>
    <xf numFmtId="0" fontId="17" fillId="5" borderId="7" xfId="0" applyFont="1" applyFill="1" applyBorder="1" applyAlignment="1">
      <alignment horizontal="center"/>
    </xf>
    <xf numFmtId="0" fontId="17" fillId="5" borderId="1" xfId="0" applyFont="1" applyFill="1" applyBorder="1" applyAlignment="1">
      <alignment horizontal="left"/>
    </xf>
    <xf numFmtId="0" fontId="17" fillId="5" borderId="10" xfId="0" applyFont="1" applyFill="1" applyBorder="1" applyAlignment="1">
      <alignment horizontal="center"/>
    </xf>
    <xf numFmtId="0" fontId="17" fillId="5" borderId="9" xfId="0" applyFont="1" applyFill="1" applyBorder="1" applyAlignment="1">
      <alignment horizontal="center"/>
    </xf>
    <xf numFmtId="175" fontId="17" fillId="5" borderId="3" xfId="0" applyNumberFormat="1" applyFont="1" applyFill="1" applyBorder="1" applyAlignment="1">
      <alignment horizontal="center"/>
    </xf>
    <xf numFmtId="0" fontId="10" fillId="5" borderId="2" xfId="0" applyFont="1" applyFill="1" applyBorder="1"/>
    <xf numFmtId="0" fontId="10" fillId="5" borderId="5" xfId="0" applyFont="1" applyFill="1" applyBorder="1"/>
    <xf numFmtId="0" fontId="10" fillId="5" borderId="0" xfId="0" applyFont="1" applyFill="1" applyBorder="1"/>
    <xf numFmtId="0" fontId="0" fillId="0" borderId="0" xfId="0" applyAlignment="1">
      <alignment horizontal="center"/>
    </xf>
    <xf numFmtId="0" fontId="10" fillId="6" borderId="9" xfId="0" applyFont="1" applyFill="1" applyBorder="1"/>
    <xf numFmtId="169" fontId="10" fillId="5" borderId="8" xfId="0" applyNumberFormat="1" applyFont="1" applyFill="1" applyBorder="1" applyAlignment="1">
      <alignment horizontal="left"/>
    </xf>
    <xf numFmtId="0" fontId="10" fillId="5" borderId="14" xfId="0" applyFont="1" applyFill="1" applyBorder="1"/>
    <xf numFmtId="0" fontId="10" fillId="5" borderId="15" xfId="0" applyFont="1" applyFill="1" applyBorder="1"/>
    <xf numFmtId="0" fontId="10" fillId="6" borderId="14" xfId="0" applyFont="1" applyFill="1" applyBorder="1"/>
    <xf numFmtId="0" fontId="10" fillId="5" borderId="10" xfId="0" applyFont="1" applyFill="1" applyBorder="1"/>
    <xf numFmtId="0" fontId="10" fillId="5" borderId="2" xfId="0" applyFont="1" applyFill="1" applyBorder="1" applyAlignment="1">
      <alignment horizontal="center"/>
    </xf>
    <xf numFmtId="0" fontId="10" fillId="5" borderId="6" xfId="0" applyFont="1" applyFill="1" applyBorder="1" applyAlignment="1">
      <alignment horizontal="center"/>
    </xf>
    <xf numFmtId="0" fontId="10" fillId="5" borderId="6" xfId="0" applyFont="1" applyFill="1" applyBorder="1"/>
    <xf numFmtId="0" fontId="16" fillId="6" borderId="8" xfId="0" applyFont="1" applyFill="1" applyBorder="1" applyAlignment="1">
      <alignment horizontal="left"/>
    </xf>
    <xf numFmtId="0" fontId="12" fillId="3" borderId="7" xfId="0" applyFont="1" applyFill="1" applyBorder="1"/>
    <xf numFmtId="9" fontId="10" fillId="5" borderId="3" xfId="0" applyNumberFormat="1" applyFont="1" applyFill="1" applyBorder="1" applyAlignment="1">
      <alignment horizontal="center"/>
    </xf>
    <xf numFmtId="180" fontId="10" fillId="5" borderId="3" xfId="0" applyNumberFormat="1" applyFont="1" applyFill="1" applyBorder="1" applyAlignment="1">
      <alignment horizontal="center"/>
    </xf>
    <xf numFmtId="181" fontId="10" fillId="5" borderId="3" xfId="0" applyNumberFormat="1" applyFont="1" applyFill="1" applyBorder="1" applyAlignment="1">
      <alignment horizontal="center"/>
    </xf>
    <xf numFmtId="0" fontId="10" fillId="2" borderId="0" xfId="0" applyFont="1" applyFill="1" applyBorder="1"/>
    <xf numFmtId="0" fontId="28" fillId="0" borderId="0" xfId="0" applyFont="1" applyFill="1" applyBorder="1"/>
    <xf numFmtId="0" fontId="21" fillId="9" borderId="0" xfId="0" applyFont="1" applyFill="1" applyBorder="1"/>
    <xf numFmtId="0" fontId="10" fillId="2" borderId="0" xfId="0" applyFont="1" applyFill="1" applyBorder="1" applyAlignment="1">
      <alignment horizontal="center"/>
    </xf>
    <xf numFmtId="0" fontId="10" fillId="3" borderId="7" xfId="0" applyFont="1" applyFill="1" applyBorder="1"/>
    <xf numFmtId="0" fontId="30" fillId="9" borderId="0" xfId="0" applyFont="1" applyFill="1" applyBorder="1"/>
    <xf numFmtId="0" fontId="30" fillId="5" borderId="0" xfId="0" applyFont="1" applyFill="1" applyBorder="1"/>
    <xf numFmtId="0" fontId="21" fillId="5" borderId="0" xfId="0" applyFont="1" applyFill="1" applyBorder="1"/>
    <xf numFmtId="0" fontId="22" fillId="5" borderId="0" xfId="0" applyFont="1" applyFill="1" applyBorder="1"/>
    <xf numFmtId="0" fontId="21" fillId="2" borderId="0" xfId="0" applyFont="1" applyFill="1" applyBorder="1"/>
    <xf numFmtId="0" fontId="22" fillId="2" borderId="0" xfId="0" applyFont="1" applyFill="1" applyBorder="1"/>
    <xf numFmtId="0" fontId="29" fillId="2" borderId="0" xfId="0" applyFont="1" applyFill="1" applyBorder="1"/>
    <xf numFmtId="0" fontId="29" fillId="2" borderId="0" xfId="0" applyFont="1" applyFill="1" applyBorder="1" applyAlignment="1">
      <alignment horizontal="right"/>
    </xf>
    <xf numFmtId="0" fontId="19" fillId="2" borderId="0" xfId="0" applyFont="1" applyFill="1"/>
    <xf numFmtId="0" fontId="19" fillId="9" borderId="0" xfId="0" applyFont="1" applyFill="1" applyBorder="1"/>
    <xf numFmtId="0" fontId="30" fillId="2" borderId="0" xfId="0" applyFont="1" applyFill="1"/>
    <xf numFmtId="0" fontId="30" fillId="9" borderId="0" xfId="0" applyFont="1" applyFill="1" applyBorder="1" applyAlignment="1">
      <alignment horizontal="right"/>
    </xf>
    <xf numFmtId="0" fontId="19" fillId="2" borderId="0" xfId="0" applyFont="1" applyFill="1" applyBorder="1"/>
    <xf numFmtId="0" fontId="19" fillId="9" borderId="0" xfId="0" applyFont="1" applyFill="1"/>
    <xf numFmtId="0" fontId="18" fillId="6" borderId="8" xfId="0" applyFont="1" applyFill="1" applyBorder="1"/>
    <xf numFmtId="0" fontId="18" fillId="6" borderId="7" xfId="0" applyFont="1" applyFill="1" applyBorder="1" applyAlignment="1">
      <alignment horizontal="center"/>
    </xf>
    <xf numFmtId="0" fontId="18" fillId="0" borderId="0" xfId="0" applyFont="1" applyFill="1" applyBorder="1" applyAlignment="1">
      <alignment horizontal="center"/>
    </xf>
    <xf numFmtId="0" fontId="27" fillId="5" borderId="8" xfId="0" applyFont="1" applyFill="1" applyBorder="1" applyAlignment="1"/>
    <xf numFmtId="0" fontId="27" fillId="5" borderId="7" xfId="0" applyFont="1" applyFill="1" applyBorder="1" applyAlignment="1">
      <alignment horizontal="right"/>
    </xf>
    <xf numFmtId="176" fontId="27" fillId="5" borderId="7" xfId="0" applyNumberFormat="1" applyFont="1" applyFill="1" applyBorder="1" applyAlignment="1">
      <alignment horizontal="center"/>
    </xf>
    <xf numFmtId="0" fontId="31" fillId="5" borderId="0" xfId="0" applyFont="1" applyFill="1" applyBorder="1"/>
    <xf numFmtId="0" fontId="32" fillId="5" borderId="0" xfId="0" applyFont="1" applyFill="1"/>
    <xf numFmtId="0" fontId="32" fillId="5" borderId="0" xfId="0" applyFont="1" applyFill="1" applyAlignment="1">
      <alignment horizontal="center"/>
    </xf>
    <xf numFmtId="0" fontId="33" fillId="0" borderId="0" xfId="0" applyFont="1"/>
    <xf numFmtId="3" fontId="10" fillId="5" borderId="2" xfId="1" applyNumberFormat="1" applyFont="1" applyFill="1" applyBorder="1" applyAlignment="1">
      <alignment horizontal="center"/>
    </xf>
    <xf numFmtId="0" fontId="18" fillId="6" borderId="3" xfId="0" applyFont="1" applyFill="1" applyBorder="1" applyAlignment="1">
      <alignment horizontal="center"/>
    </xf>
    <xf numFmtId="0" fontId="10" fillId="3" borderId="3" xfId="0" applyFont="1" applyFill="1" applyBorder="1" applyAlignment="1" applyProtection="1">
      <alignment horizontal="center"/>
      <protection locked="0"/>
    </xf>
    <xf numFmtId="168" fontId="10" fillId="3" borderId="3" xfId="0" applyNumberFormat="1" applyFont="1" applyFill="1" applyBorder="1" applyAlignment="1" applyProtection="1">
      <alignment horizontal="center"/>
      <protection locked="0"/>
    </xf>
    <xf numFmtId="9" fontId="10" fillId="3" borderId="3" xfId="2" applyFont="1" applyFill="1" applyBorder="1" applyAlignment="1" applyProtection="1">
      <alignment horizontal="center"/>
      <protection locked="0"/>
    </xf>
    <xf numFmtId="9" fontId="10" fillId="3" borderId="5" xfId="2" applyFont="1" applyFill="1" applyBorder="1" applyAlignment="1" applyProtection="1">
      <alignment horizontal="center"/>
      <protection locked="0"/>
    </xf>
    <xf numFmtId="0" fontId="10" fillId="3" borderId="8" xfId="0" applyFont="1" applyFill="1" applyBorder="1" applyProtection="1">
      <protection locked="0"/>
    </xf>
    <xf numFmtId="0" fontId="0" fillId="0" borderId="0" xfId="0" applyFont="1"/>
    <xf numFmtId="0" fontId="14" fillId="6" borderId="7" xfId="0" applyFont="1" applyFill="1" applyBorder="1" applyAlignment="1">
      <alignment horizontal="center"/>
    </xf>
    <xf numFmtId="0" fontId="14" fillId="6" borderId="3" xfId="0" applyFont="1" applyFill="1" applyBorder="1" applyAlignment="1">
      <alignment horizontal="center"/>
    </xf>
    <xf numFmtId="0" fontId="34" fillId="0" borderId="0" xfId="0" applyFont="1"/>
    <xf numFmtId="0" fontId="17" fillId="2" borderId="0" xfId="0" applyFont="1" applyFill="1"/>
    <xf numFmtId="173" fontId="10" fillId="3" borderId="3" xfId="0" applyNumberFormat="1" applyFont="1" applyFill="1" applyBorder="1" applyAlignment="1" applyProtection="1">
      <alignment horizontal="center"/>
      <protection locked="0"/>
    </xf>
    <xf numFmtId="168" fontId="10" fillId="3" borderId="13" xfId="0" applyNumberFormat="1" applyFont="1" applyFill="1" applyBorder="1" applyAlignment="1" applyProtection="1">
      <alignment horizontal="center"/>
      <protection locked="0"/>
    </xf>
    <xf numFmtId="168" fontId="10" fillId="3" borderId="5" xfId="0" applyNumberFormat="1" applyFont="1" applyFill="1" applyBorder="1" applyAlignment="1" applyProtection="1">
      <alignment horizontal="center"/>
      <protection locked="0"/>
    </xf>
    <xf numFmtId="174" fontId="10" fillId="3" borderId="3" xfId="0" applyNumberFormat="1" applyFont="1" applyFill="1" applyBorder="1" applyAlignment="1" applyProtection="1">
      <alignment horizontal="center"/>
      <protection locked="0"/>
    </xf>
    <xf numFmtId="168" fontId="10" fillId="3" borderId="3" xfId="2" applyNumberFormat="1" applyFont="1" applyFill="1" applyBorder="1" applyAlignment="1" applyProtection="1">
      <alignment horizontal="center"/>
      <protection locked="0"/>
    </xf>
    <xf numFmtId="0" fontId="17" fillId="3" borderId="3" xfId="0" applyFont="1" applyFill="1" applyBorder="1" applyAlignment="1" applyProtection="1">
      <alignment horizontal="left"/>
      <protection locked="0"/>
    </xf>
    <xf numFmtId="0" fontId="17" fillId="3" borderId="3" xfId="0" applyFont="1" applyFill="1" applyBorder="1" applyAlignment="1" applyProtection="1">
      <alignment horizontal="center"/>
      <protection locked="0"/>
    </xf>
    <xf numFmtId="0" fontId="17" fillId="5" borderId="3" xfId="0" applyFont="1" applyFill="1" applyBorder="1" applyAlignment="1">
      <alignment horizontal="left"/>
    </xf>
    <xf numFmtId="0" fontId="24" fillId="5" borderId="3" xfId="0" applyFont="1" applyFill="1" applyBorder="1"/>
    <xf numFmtId="3" fontId="24" fillId="5" borderId="3" xfId="0" applyNumberFormat="1" applyFont="1" applyFill="1" applyBorder="1" applyAlignment="1">
      <alignment horizontal="center"/>
    </xf>
    <xf numFmtId="3" fontId="24" fillId="5" borderId="3" xfId="0" applyNumberFormat="1" applyFont="1" applyFill="1" applyBorder="1"/>
    <xf numFmtId="3" fontId="26" fillId="5" borderId="3" xfId="0" applyNumberFormat="1" applyFont="1" applyFill="1" applyBorder="1" applyAlignment="1">
      <alignment horizontal="center"/>
    </xf>
    <xf numFmtId="1" fontId="17" fillId="3" borderId="3" xfId="0" applyNumberFormat="1" applyFont="1" applyFill="1" applyBorder="1" applyAlignment="1" applyProtection="1">
      <alignment horizontal="center"/>
      <protection locked="0"/>
    </xf>
    <xf numFmtId="14" fontId="10" fillId="3" borderId="3" xfId="0" applyNumberFormat="1" applyFont="1" applyFill="1" applyBorder="1" applyAlignment="1" applyProtection="1">
      <alignment horizontal="center"/>
      <protection locked="0"/>
    </xf>
    <xf numFmtId="0" fontId="14" fillId="6" borderId="15" xfId="0" applyFont="1" applyFill="1" applyBorder="1"/>
    <xf numFmtId="3" fontId="10" fillId="5" borderId="3" xfId="1" applyNumberFormat="1" applyFont="1" applyFill="1" applyBorder="1" applyAlignment="1">
      <alignment horizontal="center"/>
    </xf>
    <xf numFmtId="3" fontId="10" fillId="0" borderId="3" xfId="0" applyNumberFormat="1" applyFont="1" applyBorder="1" applyAlignment="1">
      <alignment horizontal="center"/>
    </xf>
    <xf numFmtId="0" fontId="10" fillId="2" borderId="0" xfId="0" applyFont="1" applyFill="1" applyBorder="1" applyAlignment="1">
      <alignment horizontal="right"/>
    </xf>
    <xf numFmtId="168" fontId="10" fillId="0" borderId="0" xfId="0" applyNumberFormat="1" applyFont="1"/>
    <xf numFmtId="0" fontId="35" fillId="7" borderId="9" xfId="0" applyFont="1" applyFill="1" applyBorder="1" applyAlignment="1">
      <alignment horizontal="center"/>
    </xf>
    <xf numFmtId="0" fontId="16" fillId="7" borderId="0" xfId="0" applyFont="1" applyFill="1" applyAlignment="1">
      <alignment horizontal="center"/>
    </xf>
    <xf numFmtId="0" fontId="10" fillId="0" borderId="3" xfId="0" applyFont="1" applyBorder="1"/>
    <xf numFmtId="0" fontId="35" fillId="7" borderId="3" xfId="0" applyFont="1" applyFill="1" applyBorder="1" applyAlignment="1">
      <alignment horizontal="center"/>
    </xf>
    <xf numFmtId="0" fontId="16" fillId="7" borderId="3" xfId="0" applyFont="1" applyFill="1" applyBorder="1" applyAlignment="1">
      <alignment horizontal="center"/>
    </xf>
    <xf numFmtId="173" fontId="10" fillId="0" borderId="0" xfId="0" applyNumberFormat="1" applyFont="1"/>
    <xf numFmtId="0" fontId="12" fillId="2" borderId="0" xfId="0" applyFont="1" applyFill="1" applyBorder="1" applyAlignment="1">
      <alignment horizontal="left"/>
    </xf>
    <xf numFmtId="0" fontId="12" fillId="6" borderId="0" xfId="0" applyFont="1" applyFill="1" applyBorder="1"/>
    <xf numFmtId="0" fontId="14" fillId="6" borderId="0" xfId="0" applyFont="1" applyFill="1" applyBorder="1"/>
    <xf numFmtId="170" fontId="10" fillId="2" borderId="0" xfId="1" applyNumberFormat="1" applyFont="1" applyFill="1" applyBorder="1" applyAlignment="1">
      <alignment horizontal="center"/>
    </xf>
    <xf numFmtId="170" fontId="10" fillId="5" borderId="0" xfId="1" applyNumberFormat="1" applyFont="1" applyFill="1" applyBorder="1" applyAlignment="1">
      <alignment horizontal="center"/>
    </xf>
    <xf numFmtId="9" fontId="10" fillId="2" borderId="0" xfId="0" applyNumberFormat="1" applyFont="1" applyFill="1" applyBorder="1"/>
    <xf numFmtId="2" fontId="10" fillId="2" borderId="0" xfId="0" applyNumberFormat="1" applyFont="1" applyFill="1"/>
    <xf numFmtId="178" fontId="11" fillId="2" borderId="0" xfId="0" applyNumberFormat="1" applyFont="1" applyFill="1" applyAlignment="1">
      <alignment horizontal="center"/>
    </xf>
    <xf numFmtId="10" fontId="10" fillId="5" borderId="12" xfId="0" applyNumberFormat="1" applyFont="1" applyFill="1" applyBorder="1" applyAlignment="1"/>
    <xf numFmtId="0" fontId="11" fillId="5" borderId="13" xfId="0" applyFont="1" applyFill="1" applyBorder="1" applyAlignment="1">
      <alignment horizontal="center"/>
    </xf>
    <xf numFmtId="0" fontId="16" fillId="7" borderId="13" xfId="0" applyFont="1" applyFill="1" applyBorder="1" applyAlignment="1">
      <alignment horizontal="center"/>
    </xf>
    <xf numFmtId="0" fontId="15" fillId="6" borderId="1" xfId="0" applyFont="1" applyFill="1" applyBorder="1" applyAlignment="1">
      <alignment horizontal="center"/>
    </xf>
    <xf numFmtId="0" fontId="16" fillId="7" borderId="12" xfId="0" applyFont="1" applyFill="1" applyBorder="1" applyAlignment="1">
      <alignment horizontal="center"/>
    </xf>
    <xf numFmtId="0" fontId="15" fillId="6" borderId="2" xfId="0" applyFont="1" applyFill="1" applyBorder="1" applyAlignment="1">
      <alignment horizontal="center"/>
    </xf>
    <xf numFmtId="0" fontId="16" fillId="7" borderId="5" xfId="0" applyFont="1" applyFill="1" applyBorder="1" applyAlignment="1">
      <alignment horizontal="center"/>
    </xf>
    <xf numFmtId="0" fontId="10" fillId="2" borderId="0" xfId="0" applyFont="1" applyFill="1" applyBorder="1" applyAlignment="1"/>
    <xf numFmtId="0" fontId="16" fillId="7" borderId="12" xfId="0" applyFont="1" applyFill="1" applyBorder="1"/>
    <xf numFmtId="0" fontId="20" fillId="7" borderId="1" xfId="0" applyFont="1" applyFill="1" applyBorder="1"/>
    <xf numFmtId="0" fontId="15" fillId="6" borderId="10" xfId="0" applyFont="1" applyFill="1" applyBorder="1" applyAlignment="1"/>
    <xf numFmtId="0" fontId="10" fillId="7" borderId="13" xfId="0" applyFont="1" applyFill="1" applyBorder="1"/>
    <xf numFmtId="0" fontId="13" fillId="2" borderId="0" xfId="0" applyFont="1" applyFill="1" applyBorder="1"/>
    <xf numFmtId="173" fontId="10" fillId="0" borderId="3" xfId="0" applyNumberFormat="1" applyFont="1" applyBorder="1" applyAlignment="1">
      <alignment horizontal="center"/>
    </xf>
    <xf numFmtId="168" fontId="10" fillId="0" borderId="3" xfId="0" applyNumberFormat="1" applyFont="1" applyBorder="1" applyAlignment="1">
      <alignment horizontal="center"/>
    </xf>
    <xf numFmtId="9" fontId="10" fillId="5" borderId="3" xfId="2" applyFont="1" applyFill="1" applyBorder="1" applyAlignment="1">
      <alignment horizontal="center"/>
    </xf>
    <xf numFmtId="9" fontId="10" fillId="0" borderId="3" xfId="0" applyNumberFormat="1" applyFont="1" applyBorder="1" applyAlignment="1">
      <alignment horizontal="center"/>
    </xf>
    <xf numFmtId="173" fontId="10" fillId="0" borderId="0" xfId="0" applyNumberFormat="1" applyFont="1" applyAlignment="1">
      <alignment horizontal="center"/>
    </xf>
    <xf numFmtId="0" fontId="29" fillId="5" borderId="0" xfId="0" applyFont="1" applyFill="1" applyBorder="1"/>
    <xf numFmtId="0" fontId="17" fillId="5" borderId="9" xfId="0" applyFont="1" applyFill="1" applyBorder="1"/>
    <xf numFmtId="0" fontId="17" fillId="5" borderId="7" xfId="0" applyFont="1" applyFill="1" applyBorder="1"/>
    <xf numFmtId="0" fontId="20" fillId="9" borderId="0" xfId="0" applyFont="1" applyFill="1" applyBorder="1"/>
    <xf numFmtId="0" fontId="20" fillId="9" borderId="0" xfId="0" applyFont="1" applyFill="1" applyBorder="1" applyAlignment="1">
      <alignment horizontal="right"/>
    </xf>
    <xf numFmtId="0" fontId="20" fillId="9" borderId="0" xfId="0" applyFont="1" applyFill="1"/>
    <xf numFmtId="0" fontId="18" fillId="9" borderId="0" xfId="0" applyFont="1" applyFill="1"/>
    <xf numFmtId="0" fontId="18" fillId="9" borderId="0" xfId="0" applyFont="1" applyFill="1" applyAlignment="1">
      <alignment horizontal="center"/>
    </xf>
    <xf numFmtId="172" fontId="10" fillId="5" borderId="3" xfId="1" applyNumberFormat="1" applyFont="1" applyFill="1" applyBorder="1" applyAlignment="1">
      <alignment horizontal="center"/>
    </xf>
    <xf numFmtId="3" fontId="10" fillId="2" borderId="3" xfId="0" applyNumberFormat="1" applyFont="1" applyFill="1" applyBorder="1" applyAlignment="1">
      <alignment horizontal="center"/>
    </xf>
    <xf numFmtId="9" fontId="10" fillId="2" borderId="0" xfId="0" applyNumberFormat="1" applyFont="1" applyFill="1" applyBorder="1" applyAlignment="1">
      <alignment horizontal="center"/>
    </xf>
    <xf numFmtId="0" fontId="17" fillId="2" borderId="0" xfId="0" applyFont="1" applyFill="1" applyBorder="1" applyAlignment="1">
      <alignment horizontal="center"/>
    </xf>
    <xf numFmtId="0" fontId="18" fillId="2" borderId="0" xfId="0" applyFont="1" applyFill="1" applyBorder="1" applyAlignment="1">
      <alignment horizontal="center"/>
    </xf>
    <xf numFmtId="9" fontId="10" fillId="3" borderId="3" xfId="0" applyNumberFormat="1" applyFont="1" applyFill="1" applyBorder="1" applyAlignment="1" applyProtection="1">
      <alignment horizontal="center"/>
      <protection locked="0"/>
    </xf>
    <xf numFmtId="172" fontId="10" fillId="5" borderId="3" xfId="0" applyNumberFormat="1" applyFont="1" applyFill="1" applyBorder="1" applyAlignment="1">
      <alignment horizontal="center"/>
    </xf>
    <xf numFmtId="175" fontId="10" fillId="5" borderId="3" xfId="1" applyNumberFormat="1" applyFont="1" applyFill="1" applyBorder="1" applyAlignment="1">
      <alignment horizontal="center"/>
    </xf>
    <xf numFmtId="0" fontId="17" fillId="5" borderId="3" xfId="0" applyFont="1" applyFill="1" applyBorder="1" applyAlignment="1">
      <alignment horizontal="center" shrinkToFit="1"/>
    </xf>
    <xf numFmtId="174" fontId="10" fillId="5" borderId="3" xfId="2" applyNumberFormat="1" applyFont="1" applyFill="1" applyBorder="1" applyAlignment="1">
      <alignment horizontal="center"/>
    </xf>
    <xf numFmtId="10" fontId="10" fillId="5" borderId="3" xfId="2" applyNumberFormat="1" applyFont="1" applyFill="1" applyBorder="1" applyAlignment="1">
      <alignment horizontal="center"/>
    </xf>
    <xf numFmtId="3" fontId="38" fillId="5" borderId="3" xfId="0" applyNumberFormat="1" applyFont="1" applyFill="1" applyBorder="1" applyAlignment="1">
      <alignment horizontal="center"/>
    </xf>
    <xf numFmtId="171" fontId="10" fillId="5" borderId="3" xfId="0" applyNumberFormat="1" applyFont="1" applyFill="1" applyBorder="1" applyAlignment="1">
      <alignment horizontal="center"/>
    </xf>
    <xf numFmtId="3" fontId="10" fillId="5" borderId="3" xfId="0" applyNumberFormat="1" applyFont="1" applyFill="1" applyBorder="1" applyAlignment="1" applyProtection="1">
      <alignment horizontal="center"/>
    </xf>
    <xf numFmtId="171" fontId="10" fillId="5" borderId="3" xfId="0" applyNumberFormat="1" applyFont="1" applyFill="1" applyBorder="1" applyAlignment="1" applyProtection="1">
      <alignment horizontal="center"/>
    </xf>
    <xf numFmtId="0" fontId="10" fillId="0" borderId="0" xfId="0" applyFont="1" applyProtection="1"/>
    <xf numFmtId="173" fontId="10" fillId="5" borderId="3" xfId="2" applyNumberFormat="1" applyFont="1" applyFill="1" applyBorder="1" applyAlignment="1" applyProtection="1">
      <alignment horizontal="center"/>
    </xf>
    <xf numFmtId="0" fontId="15" fillId="6" borderId="8" xfId="0" applyFont="1" applyFill="1" applyBorder="1" applyAlignment="1">
      <alignment horizontal="center"/>
    </xf>
    <xf numFmtId="0" fontId="15" fillId="6" borderId="7" xfId="0" applyFont="1" applyFill="1" applyBorder="1" applyAlignment="1">
      <alignment horizontal="center"/>
    </xf>
    <xf numFmtId="0" fontId="10" fillId="3" borderId="0" xfId="0" applyFont="1" applyFill="1"/>
    <xf numFmtId="173" fontId="39" fillId="5" borderId="7" xfId="0" applyNumberFormat="1" applyFont="1" applyFill="1" applyBorder="1" applyAlignment="1">
      <alignment horizontal="center"/>
    </xf>
    <xf numFmtId="171" fontId="39" fillId="5" borderId="7" xfId="0" applyNumberFormat="1" applyFont="1" applyFill="1" applyBorder="1" applyAlignment="1">
      <alignment horizontal="center"/>
    </xf>
    <xf numFmtId="5" fontId="10" fillId="3" borderId="11" xfId="0" applyNumberFormat="1" applyFont="1" applyFill="1" applyBorder="1" applyAlignment="1" applyProtection="1">
      <alignment horizontal="center"/>
      <protection locked="0"/>
    </xf>
    <xf numFmtId="0" fontId="40" fillId="0" borderId="0" xfId="0" applyFont="1"/>
    <xf numFmtId="0" fontId="40" fillId="0" borderId="0" xfId="0" applyFont="1" applyAlignment="1">
      <alignment horizontal="center"/>
    </xf>
    <xf numFmtId="0" fontId="7" fillId="0" borderId="0" xfId="0" applyFont="1"/>
    <xf numFmtId="0" fontId="41" fillId="0" borderId="0" xfId="0" applyFont="1"/>
    <xf numFmtId="0" fontId="10" fillId="5" borderId="0" xfId="0" applyFont="1" applyFill="1" applyAlignment="1">
      <alignment horizontal="right"/>
    </xf>
    <xf numFmtId="17" fontId="10" fillId="5" borderId="0" xfId="0" applyNumberFormat="1" applyFont="1" applyFill="1" applyAlignment="1">
      <alignment horizontal="right"/>
    </xf>
    <xf numFmtId="0" fontId="10" fillId="2" borderId="8" xfId="0" applyFont="1" applyFill="1" applyBorder="1"/>
    <xf numFmtId="0" fontId="10" fillId="2" borderId="9" xfId="0" applyFont="1" applyFill="1" applyBorder="1"/>
    <xf numFmtId="0" fontId="10" fillId="2" borderId="3" xfId="0" applyFont="1" applyFill="1" applyBorder="1" applyAlignment="1">
      <alignment horizontal="center"/>
    </xf>
    <xf numFmtId="1" fontId="10" fillId="5" borderId="3" xfId="0" applyNumberFormat="1" applyFont="1" applyFill="1" applyBorder="1" applyAlignment="1">
      <alignment horizontal="center"/>
    </xf>
    <xf numFmtId="183" fontId="11" fillId="5" borderId="9" xfId="0" applyNumberFormat="1" applyFont="1" applyFill="1" applyBorder="1" applyAlignment="1">
      <alignment horizontal="center"/>
    </xf>
    <xf numFmtId="0" fontId="43" fillId="7" borderId="2" xfId="0" applyFont="1" applyFill="1" applyBorder="1" applyAlignment="1">
      <alignment horizontal="center"/>
    </xf>
    <xf numFmtId="0" fontId="15" fillId="7" borderId="5" xfId="0" applyFont="1" applyFill="1" applyBorder="1" applyAlignment="1">
      <alignment horizontal="center"/>
    </xf>
    <xf numFmtId="0" fontId="15" fillId="7" borderId="5" xfId="0" applyFont="1" applyFill="1" applyBorder="1" applyAlignment="1">
      <alignment horizontal="center" wrapText="1"/>
    </xf>
    <xf numFmtId="184" fontId="11" fillId="5" borderId="9" xfId="0" applyNumberFormat="1" applyFont="1" applyFill="1" applyBorder="1" applyAlignment="1">
      <alignment horizontal="center"/>
    </xf>
    <xf numFmtId="0" fontId="37" fillId="6" borderId="3" xfId="0" applyFont="1" applyFill="1" applyBorder="1" applyAlignment="1">
      <alignment horizontal="center"/>
    </xf>
    <xf numFmtId="174" fontId="0" fillId="0" borderId="0" xfId="0" applyNumberFormat="1"/>
    <xf numFmtId="0" fontId="10" fillId="7" borderId="0" xfId="0" applyFont="1" applyFill="1"/>
    <xf numFmtId="0" fontId="10" fillId="0" borderId="7" xfId="0" applyFont="1" applyFill="1" applyBorder="1" applyAlignment="1" applyProtection="1">
      <alignment horizontal="center"/>
      <protection locked="0"/>
    </xf>
    <xf numFmtId="0" fontId="10" fillId="6" borderId="14" xfId="0" applyFont="1" applyFill="1" applyBorder="1" applyAlignment="1">
      <alignment horizontal="center"/>
    </xf>
    <xf numFmtId="0" fontId="44" fillId="0" borderId="0" xfId="0" applyFont="1"/>
    <xf numFmtId="0" fontId="45" fillId="2" borderId="0" xfId="0" applyFont="1" applyFill="1"/>
    <xf numFmtId="168" fontId="17" fillId="3" borderId="3" xfId="2" applyNumberFormat="1" applyFont="1" applyFill="1" applyBorder="1" applyAlignment="1" applyProtection="1">
      <alignment horizontal="center"/>
      <protection locked="0"/>
    </xf>
    <xf numFmtId="3" fontId="10" fillId="3" borderId="3" xfId="1" applyNumberFormat="1" applyFont="1" applyFill="1" applyBorder="1" applyAlignment="1" applyProtection="1">
      <alignment horizontal="center"/>
      <protection locked="0"/>
    </xf>
    <xf numFmtId="9" fontId="10" fillId="3" borderId="8" xfId="2" applyFont="1" applyFill="1" applyBorder="1" applyAlignment="1" applyProtection="1">
      <alignment horizontal="center"/>
      <protection locked="0"/>
    </xf>
    <xf numFmtId="168" fontId="10" fillId="3" borderId="7" xfId="0" applyNumberFormat="1" applyFont="1" applyFill="1" applyBorder="1" applyAlignment="1" applyProtection="1">
      <alignment horizontal="center"/>
      <protection locked="0"/>
    </xf>
    <xf numFmtId="3" fontId="10" fillId="3" borderId="8" xfId="1" applyNumberFormat="1" applyFont="1" applyFill="1" applyBorder="1" applyAlignment="1" applyProtection="1">
      <alignment horizontal="center"/>
      <protection locked="0"/>
    </xf>
    <xf numFmtId="174" fontId="10" fillId="3" borderId="8" xfId="1" applyNumberFormat="1" applyFont="1" applyFill="1" applyBorder="1" applyAlignment="1" applyProtection="1">
      <alignment horizontal="center"/>
      <protection locked="0"/>
    </xf>
    <xf numFmtId="174" fontId="10" fillId="3" borderId="3" xfId="1" applyNumberFormat="1" applyFont="1" applyFill="1" applyBorder="1" applyAlignment="1" applyProtection="1">
      <alignment horizontal="center"/>
      <protection locked="0"/>
    </xf>
    <xf numFmtId="174" fontId="10" fillId="0" borderId="0" xfId="0" applyNumberFormat="1" applyFont="1"/>
    <xf numFmtId="168" fontId="10" fillId="2" borderId="0" xfId="0" applyNumberFormat="1" applyFont="1" applyFill="1" applyBorder="1" applyAlignment="1" applyProtection="1">
      <alignment horizontal="center"/>
    </xf>
    <xf numFmtId="0" fontId="10" fillId="10" borderId="0" xfId="0" applyFont="1" applyFill="1" applyAlignment="1">
      <alignment horizontal="center"/>
    </xf>
    <xf numFmtId="0" fontId="10" fillId="10" borderId="0" xfId="0" applyFont="1" applyFill="1"/>
    <xf numFmtId="185" fontId="10" fillId="0" borderId="3" xfId="0" applyNumberFormat="1" applyFont="1" applyBorder="1" applyAlignment="1">
      <alignment horizontal="center"/>
    </xf>
    <xf numFmtId="0" fontId="0" fillId="0" borderId="14" xfId="0" applyBorder="1"/>
    <xf numFmtId="169" fontId="0" fillId="0" borderId="0" xfId="0" applyNumberFormat="1"/>
    <xf numFmtId="1" fontId="0" fillId="0" borderId="0" xfId="0" applyNumberFormat="1"/>
    <xf numFmtId="0" fontId="0" fillId="0" borderId="0" xfId="0" applyAlignment="1">
      <alignment horizontal="right"/>
    </xf>
    <xf numFmtId="1" fontId="0" fillId="0" borderId="14" xfId="0" applyNumberFormat="1" applyBorder="1"/>
    <xf numFmtId="0" fontId="0" fillId="0" borderId="0" xfId="0" applyBorder="1"/>
    <xf numFmtId="1" fontId="0" fillId="0" borderId="0" xfId="0" applyNumberFormat="1" applyBorder="1"/>
    <xf numFmtId="1" fontId="0" fillId="0" borderId="16" xfId="0" applyNumberFormat="1" applyBorder="1"/>
    <xf numFmtId="172" fontId="0" fillId="0" borderId="0" xfId="0" applyNumberFormat="1"/>
    <xf numFmtId="10" fontId="10" fillId="0" borderId="3" xfId="0" applyNumberFormat="1" applyFont="1" applyBorder="1" applyAlignment="1">
      <alignment horizontal="center"/>
    </xf>
    <xf numFmtId="172" fontId="0" fillId="0" borderId="14" xfId="0" applyNumberFormat="1" applyBorder="1"/>
    <xf numFmtId="168" fontId="10" fillId="10" borderId="3" xfId="0" applyNumberFormat="1" applyFont="1" applyFill="1" applyBorder="1" applyAlignment="1">
      <alignment horizontal="center"/>
    </xf>
    <xf numFmtId="9" fontId="0" fillId="0" borderId="0" xfId="2" applyFont="1" applyBorder="1"/>
    <xf numFmtId="172" fontId="0" fillId="0" borderId="0" xfId="0" applyNumberFormat="1" applyBorder="1"/>
    <xf numFmtId="167" fontId="0" fillId="0" borderId="16" xfId="1" applyNumberFormat="1" applyFont="1" applyBorder="1"/>
    <xf numFmtId="172" fontId="10" fillId="0" borderId="0" xfId="1" applyNumberFormat="1" applyFont="1" applyFill="1" applyBorder="1" applyAlignment="1">
      <alignment horizontal="right"/>
    </xf>
    <xf numFmtId="1" fontId="0" fillId="0" borderId="0" xfId="0" applyNumberFormat="1" applyBorder="1" applyAlignment="1">
      <alignment horizontal="right"/>
    </xf>
    <xf numFmtId="9" fontId="10" fillId="10" borderId="3" xfId="0" applyNumberFormat="1" applyFont="1" applyFill="1" applyBorder="1" applyAlignment="1">
      <alignment horizontal="center"/>
    </xf>
    <xf numFmtId="169" fontId="10" fillId="0" borderId="0" xfId="0" applyNumberFormat="1" applyFont="1"/>
    <xf numFmtId="10" fontId="10" fillId="10" borderId="3" xfId="2" applyNumberFormat="1" applyFont="1" applyFill="1" applyBorder="1" applyAlignment="1">
      <alignment horizontal="center"/>
    </xf>
    <xf numFmtId="0" fontId="40" fillId="11" borderId="0" xfId="0" applyFont="1" applyFill="1"/>
    <xf numFmtId="0" fontId="40" fillId="11" borderId="0" xfId="0" applyFont="1" applyFill="1" applyAlignment="1">
      <alignment horizontal="right"/>
    </xf>
    <xf numFmtId="186" fontId="40" fillId="11" borderId="0" xfId="0" applyNumberFormat="1" applyFont="1" applyFill="1"/>
    <xf numFmtId="186" fontId="40" fillId="11" borderId="16" xfId="0" applyNumberFormat="1" applyFont="1" applyFill="1" applyBorder="1"/>
    <xf numFmtId="1" fontId="40" fillId="11" borderId="0" xfId="0" applyNumberFormat="1" applyFont="1" applyFill="1"/>
    <xf numFmtId="169" fontId="17" fillId="0" borderId="3" xfId="0" applyNumberFormat="1" applyFont="1" applyFill="1" applyBorder="1" applyAlignment="1">
      <alignment horizontal="center"/>
    </xf>
    <xf numFmtId="164" fontId="0" fillId="0" borderId="0" xfId="0" applyNumberFormat="1"/>
    <xf numFmtId="9" fontId="0" fillId="0" borderId="0" xfId="0" applyNumberFormat="1"/>
    <xf numFmtId="0" fontId="30" fillId="9" borderId="0" xfId="0" applyFont="1" applyFill="1" applyBorder="1" applyAlignment="1">
      <alignment shrinkToFit="1"/>
    </xf>
    <xf numFmtId="0" fontId="0" fillId="0" borderId="0" xfId="0" applyAlignment="1">
      <alignment shrinkToFit="1"/>
    </xf>
    <xf numFmtId="2" fontId="10" fillId="3" borderId="3" xfId="0" applyNumberFormat="1" applyFont="1" applyFill="1" applyBorder="1" applyAlignment="1" applyProtection="1">
      <alignment horizontal="center"/>
      <protection locked="0"/>
    </xf>
    <xf numFmtId="170" fontId="49" fillId="2" borderId="0" xfId="1" applyNumberFormat="1"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Border="1"/>
    <xf numFmtId="0" fontId="49" fillId="5" borderId="8" xfId="0" applyFont="1" applyFill="1" applyBorder="1"/>
    <xf numFmtId="0" fontId="49" fillId="5" borderId="7" xfId="0" applyFont="1" applyFill="1" applyBorder="1" applyAlignment="1">
      <alignment horizontal="center"/>
    </xf>
    <xf numFmtId="173" fontId="50" fillId="5" borderId="7" xfId="0" applyNumberFormat="1" applyFont="1" applyFill="1" applyBorder="1" applyAlignment="1">
      <alignment horizontal="center"/>
    </xf>
    <xf numFmtId="171" fontId="50" fillId="5" borderId="7" xfId="0" applyNumberFormat="1" applyFont="1" applyFill="1" applyBorder="1" applyAlignment="1">
      <alignment horizontal="center"/>
    </xf>
    <xf numFmtId="167" fontId="0" fillId="0" borderId="0" xfId="1" applyNumberFormat="1" applyFont="1"/>
    <xf numFmtId="2" fontId="0" fillId="0" borderId="0" xfId="0" applyNumberFormat="1"/>
    <xf numFmtId="9" fontId="0" fillId="0" borderId="0" xfId="2" applyFont="1"/>
    <xf numFmtId="167" fontId="44" fillId="0" borderId="0" xfId="1" applyNumberFormat="1" applyFont="1"/>
    <xf numFmtId="0" fontId="44" fillId="0" borderId="0" xfId="0" applyFont="1" applyAlignment="1">
      <alignment horizontal="right"/>
    </xf>
    <xf numFmtId="3" fontId="17" fillId="0" borderId="0" xfId="0" applyNumberFormat="1" applyFont="1"/>
    <xf numFmtId="3" fontId="52" fillId="0" borderId="0" xfId="0" applyNumberFormat="1" applyFont="1" applyBorder="1" applyAlignment="1">
      <alignment horizontal="center"/>
    </xf>
    <xf numFmtId="0" fontId="52" fillId="0" borderId="0" xfId="0" applyFont="1"/>
    <xf numFmtId="0" fontId="21" fillId="2" borderId="0" xfId="0" applyFont="1" applyFill="1"/>
    <xf numFmtId="0" fontId="20" fillId="2" borderId="0" xfId="0" applyFont="1" applyFill="1"/>
    <xf numFmtId="173" fontId="13" fillId="0" borderId="3" xfId="0" applyNumberFormat="1" applyFont="1" applyBorder="1" applyAlignment="1">
      <alignment horizontal="center"/>
    </xf>
    <xf numFmtId="173" fontId="13" fillId="0" borderId="0" xfId="0" applyNumberFormat="1" applyFont="1" applyAlignment="1">
      <alignment horizontal="center"/>
    </xf>
    <xf numFmtId="173" fontId="13" fillId="0" borderId="0" xfId="0" applyNumberFormat="1" applyFont="1"/>
    <xf numFmtId="168" fontId="0" fillId="0" borderId="0" xfId="2" applyNumberFormat="1" applyFont="1"/>
    <xf numFmtId="0" fontId="0" fillId="0" borderId="0" xfId="0" applyAlignment="1">
      <alignment horizontal="right" wrapText="1"/>
    </xf>
    <xf numFmtId="1" fontId="0" fillId="0" borderId="0" xfId="0" applyNumberFormat="1" applyAlignment="1">
      <alignment horizontal="right"/>
    </xf>
    <xf numFmtId="0" fontId="0" fillId="0" borderId="0" xfId="0" applyAlignment="1">
      <alignment horizontal="right" vertical="top" wrapText="1"/>
    </xf>
    <xf numFmtId="0" fontId="8" fillId="0" borderId="0" xfId="0" applyFont="1" applyAlignment="1">
      <alignment horizontal="right"/>
    </xf>
    <xf numFmtId="0" fontId="8" fillId="0" borderId="0" xfId="0" applyFont="1"/>
    <xf numFmtId="182" fontId="10" fillId="2" borderId="0" xfId="1" applyNumberFormat="1" applyFont="1" applyFill="1" applyAlignment="1">
      <alignment horizontal="right"/>
    </xf>
    <xf numFmtId="9" fontId="10" fillId="2" borderId="0" xfId="2" applyFont="1" applyFill="1" applyAlignment="1">
      <alignment horizontal="center"/>
    </xf>
    <xf numFmtId="182" fontId="10" fillId="12" borderId="0" xfId="1" applyNumberFormat="1" applyFont="1" applyFill="1" applyAlignment="1">
      <alignment horizontal="right"/>
    </xf>
    <xf numFmtId="9" fontId="10" fillId="2" borderId="0" xfId="0" applyNumberFormat="1" applyFont="1" applyFill="1" applyAlignment="1">
      <alignment horizontal="center"/>
    </xf>
    <xf numFmtId="0" fontId="0" fillId="0" borderId="0" xfId="0" applyAlignment="1">
      <alignment shrinkToFit="1"/>
    </xf>
    <xf numFmtId="0" fontId="54" fillId="2" borderId="0" xfId="0" applyFont="1" applyFill="1" applyBorder="1"/>
    <xf numFmtId="0" fontId="55" fillId="5" borderId="0" xfId="0" applyFont="1" applyFill="1" applyBorder="1"/>
    <xf numFmtId="0" fontId="56" fillId="5" borderId="0" xfId="0" applyFont="1" applyFill="1" applyBorder="1"/>
    <xf numFmtId="0" fontId="54" fillId="5" borderId="0" xfId="0" applyFont="1" applyFill="1" applyBorder="1"/>
    <xf numFmtId="0" fontId="57" fillId="2" borderId="0" xfId="0" applyFont="1" applyFill="1" applyBorder="1"/>
    <xf numFmtId="0" fontId="55" fillId="9" borderId="0" xfId="0" applyFont="1" applyFill="1" applyBorder="1"/>
    <xf numFmtId="0" fontId="58" fillId="9" borderId="0" xfId="0" applyFont="1" applyFill="1" applyBorder="1"/>
    <xf numFmtId="0" fontId="56" fillId="9" borderId="0" xfId="0" applyFont="1" applyFill="1" applyBorder="1"/>
    <xf numFmtId="0" fontId="53" fillId="2" borderId="0" xfId="0" applyFont="1" applyFill="1"/>
    <xf numFmtId="0" fontId="53" fillId="2" borderId="0" xfId="0" applyFont="1" applyFill="1" applyAlignment="1">
      <alignment horizontal="center"/>
    </xf>
    <xf numFmtId="0" fontId="53" fillId="0" borderId="0" xfId="0" applyFont="1" applyAlignment="1">
      <alignment horizontal="center"/>
    </xf>
    <xf numFmtId="0" fontId="61" fillId="2" borderId="0" xfId="0" applyFont="1" applyFill="1"/>
    <xf numFmtId="0" fontId="62" fillId="6" borderId="3" xfId="0" applyFont="1" applyFill="1" applyBorder="1"/>
    <xf numFmtId="0" fontId="62" fillId="6" borderId="14" xfId="0" applyFont="1" applyFill="1" applyBorder="1" applyAlignment="1">
      <alignment horizontal="center"/>
    </xf>
    <xf numFmtId="0" fontId="63" fillId="7" borderId="3" xfId="0" applyFont="1" applyFill="1" applyBorder="1" applyAlignment="1">
      <alignment horizontal="center"/>
    </xf>
    <xf numFmtId="0" fontId="64" fillId="0" borderId="0" xfId="0" applyFont="1"/>
    <xf numFmtId="0" fontId="53" fillId="5" borderId="3" xfId="0" quotePrefix="1" applyFont="1" applyFill="1" applyBorder="1"/>
    <xf numFmtId="0" fontId="62" fillId="6" borderId="8" xfId="0" applyFont="1" applyFill="1" applyBorder="1"/>
    <xf numFmtId="0" fontId="62" fillId="6" borderId="0" xfId="0" applyFont="1" applyFill="1" applyBorder="1" applyAlignment="1">
      <alignment horizontal="center"/>
    </xf>
    <xf numFmtId="0" fontId="53" fillId="0" borderId="0" xfId="0" applyFont="1"/>
    <xf numFmtId="0" fontId="53" fillId="5" borderId="8" xfId="0" applyFont="1" applyFill="1" applyBorder="1" applyAlignment="1">
      <alignment horizontal="left"/>
    </xf>
    <xf numFmtId="0" fontId="53" fillId="5" borderId="8" xfId="0" quotePrefix="1" applyFont="1" applyFill="1" applyBorder="1"/>
    <xf numFmtId="176" fontId="64" fillId="5" borderId="3" xfId="0" applyNumberFormat="1" applyFont="1" applyFill="1" applyBorder="1" applyAlignment="1">
      <alignment horizontal="center"/>
    </xf>
    <xf numFmtId="0" fontId="53" fillId="5" borderId="1" xfId="0" applyFont="1" applyFill="1" applyBorder="1"/>
    <xf numFmtId="0" fontId="53" fillId="5" borderId="8" xfId="0" applyFont="1" applyFill="1" applyBorder="1"/>
    <xf numFmtId="0" fontId="53" fillId="5" borderId="12" xfId="0" applyFont="1" applyFill="1" applyBorder="1"/>
    <xf numFmtId="176" fontId="53" fillId="5" borderId="3" xfId="0" applyNumberFormat="1" applyFont="1" applyFill="1" applyBorder="1" applyAlignment="1">
      <alignment horizontal="center"/>
    </xf>
    <xf numFmtId="0" fontId="62" fillId="6" borderId="1" xfId="0" applyFont="1" applyFill="1" applyBorder="1"/>
    <xf numFmtId="0" fontId="53" fillId="5" borderId="1" xfId="0" applyFont="1" applyFill="1" applyBorder="1" applyAlignment="1">
      <alignment horizontal="left"/>
    </xf>
    <xf numFmtId="0" fontId="65" fillId="0" borderId="0" xfId="0" applyFont="1"/>
    <xf numFmtId="167" fontId="53" fillId="0" borderId="0" xfId="1" applyNumberFormat="1" applyFont="1"/>
    <xf numFmtId="0" fontId="60" fillId="0" borderId="0" xfId="0" applyFont="1" applyAlignment="1">
      <alignment horizontal="center"/>
    </xf>
    <xf numFmtId="0" fontId="10" fillId="13" borderId="0" xfId="0" applyFont="1" applyFill="1" applyAlignment="1">
      <alignment horizontal="center"/>
    </xf>
    <xf numFmtId="0" fontId="55" fillId="2" borderId="0" xfId="0" applyFont="1" applyFill="1"/>
    <xf numFmtId="0" fontId="62" fillId="6" borderId="3" xfId="0" applyFont="1" applyFill="1" applyBorder="1" applyAlignment="1">
      <alignment horizontal="center"/>
    </xf>
    <xf numFmtId="0" fontId="62" fillId="6" borderId="8" xfId="0" applyFont="1" applyFill="1" applyBorder="1" applyAlignment="1">
      <alignment horizontal="center"/>
    </xf>
    <xf numFmtId="0" fontId="66" fillId="5" borderId="3" xfId="0" quotePrefix="1" applyFont="1" applyFill="1" applyBorder="1" applyAlignment="1">
      <alignment horizontal="center"/>
    </xf>
    <xf numFmtId="173" fontId="53" fillId="3" borderId="3" xfId="0" applyNumberFormat="1" applyFont="1" applyFill="1" applyBorder="1" applyAlignment="1" applyProtection="1">
      <alignment horizontal="center"/>
      <protection locked="0"/>
    </xf>
    <xf numFmtId="176" fontId="53" fillId="0" borderId="3" xfId="1" applyNumberFormat="1" applyFont="1" applyFill="1" applyBorder="1" applyAlignment="1">
      <alignment horizontal="center"/>
    </xf>
    <xf numFmtId="0" fontId="53" fillId="3" borderId="3" xfId="0" applyFont="1" applyFill="1" applyBorder="1" applyAlignment="1" applyProtection="1">
      <alignment horizontal="center"/>
      <protection locked="0"/>
    </xf>
    <xf numFmtId="0" fontId="67" fillId="5" borderId="5" xfId="0" applyFont="1" applyFill="1" applyBorder="1" applyAlignment="1">
      <alignment horizontal="center"/>
    </xf>
    <xf numFmtId="176" fontId="68" fillId="5" borderId="13" xfId="1" applyNumberFormat="1" applyFont="1" applyFill="1" applyBorder="1" applyAlignment="1">
      <alignment horizontal="center"/>
    </xf>
    <xf numFmtId="0" fontId="66" fillId="5" borderId="10" xfId="0" applyFont="1" applyFill="1" applyBorder="1" applyAlignment="1">
      <alignment horizontal="center"/>
    </xf>
    <xf numFmtId="176" fontId="64" fillId="5" borderId="3" xfId="1" applyNumberFormat="1" applyFont="1" applyFill="1" applyBorder="1" applyAlignment="1">
      <alignment horizontal="center"/>
    </xf>
    <xf numFmtId="0" fontId="66" fillId="5" borderId="7" xfId="0" applyFont="1" applyFill="1" applyBorder="1" applyAlignment="1">
      <alignment horizontal="center"/>
    </xf>
    <xf numFmtId="0" fontId="66" fillId="5" borderId="13" xfId="0" applyFont="1" applyFill="1" applyBorder="1" applyAlignment="1">
      <alignment horizontal="center"/>
    </xf>
    <xf numFmtId="0" fontId="53" fillId="5" borderId="13" xfId="0" applyFont="1" applyFill="1" applyBorder="1" applyAlignment="1">
      <alignment horizontal="center"/>
    </xf>
    <xf numFmtId="173" fontId="68" fillId="5" borderId="3" xfId="0" applyNumberFormat="1" applyFont="1" applyFill="1" applyBorder="1" applyAlignment="1">
      <alignment horizontal="center"/>
    </xf>
    <xf numFmtId="176" fontId="68" fillId="5" borderId="3" xfId="1" applyNumberFormat="1" applyFont="1" applyFill="1" applyBorder="1" applyAlignment="1">
      <alignment horizontal="center"/>
    </xf>
    <xf numFmtId="176" fontId="66" fillId="3" borderId="13" xfId="1" applyNumberFormat="1" applyFont="1" applyFill="1" applyBorder="1" applyAlignment="1" applyProtection="1">
      <alignment horizontal="center"/>
      <protection locked="0"/>
    </xf>
    <xf numFmtId="176" fontId="66" fillId="3" borderId="7" xfId="1" applyNumberFormat="1" applyFont="1" applyFill="1" applyBorder="1" applyAlignment="1" applyProtection="1">
      <alignment horizontal="center"/>
      <protection locked="0"/>
    </xf>
    <xf numFmtId="0" fontId="67" fillId="2" borderId="0" xfId="0" applyFont="1" applyFill="1"/>
    <xf numFmtId="0" fontId="67" fillId="2" borderId="0" xfId="0" applyFont="1" applyFill="1" applyAlignment="1">
      <alignment horizontal="center"/>
    </xf>
    <xf numFmtId="0" fontId="67" fillId="5" borderId="5" xfId="0" applyFont="1" applyFill="1" applyBorder="1" applyAlignment="1">
      <alignment horizontal="right"/>
    </xf>
    <xf numFmtId="176" fontId="68" fillId="5" borderId="7" xfId="1" applyNumberFormat="1" applyFont="1" applyFill="1" applyBorder="1" applyAlignment="1">
      <alignment horizontal="center"/>
    </xf>
    <xf numFmtId="0" fontId="62" fillId="6" borderId="9" xfId="0" applyFont="1" applyFill="1" applyBorder="1" applyAlignment="1">
      <alignment horizontal="center"/>
    </xf>
    <xf numFmtId="176" fontId="53" fillId="3" borderId="7" xfId="1" applyNumberFormat="1" applyFont="1" applyFill="1" applyBorder="1" applyAlignment="1" applyProtection="1">
      <alignment horizontal="center"/>
      <protection locked="0"/>
    </xf>
    <xf numFmtId="188" fontId="10" fillId="2" borderId="0" xfId="0" applyNumberFormat="1" applyFont="1" applyFill="1"/>
    <xf numFmtId="3" fontId="17" fillId="3" borderId="3" xfId="0" applyNumberFormat="1" applyFont="1" applyFill="1" applyBorder="1" applyAlignment="1" applyProtection="1">
      <alignment horizontal="center"/>
      <protection locked="0"/>
    </xf>
    <xf numFmtId="166" fontId="10" fillId="2" borderId="0" xfId="0" applyNumberFormat="1" applyFont="1" applyFill="1" applyAlignment="1">
      <alignment horizontal="center"/>
    </xf>
    <xf numFmtId="0" fontId="10" fillId="2" borderId="0" xfId="0" applyFont="1" applyFill="1" applyAlignment="1">
      <alignment horizontal="left"/>
    </xf>
    <xf numFmtId="0" fontId="9" fillId="2" borderId="0" xfId="0" quotePrefix="1" applyFont="1" applyFill="1" applyAlignment="1">
      <alignment horizontal="center"/>
    </xf>
    <xf numFmtId="0" fontId="69" fillId="14" borderId="0" xfId="0" applyFont="1" applyFill="1"/>
    <xf numFmtId="169" fontId="10" fillId="2" borderId="0" xfId="0" applyNumberFormat="1" applyFont="1" applyFill="1"/>
    <xf numFmtId="182" fontId="10" fillId="2" borderId="16" xfId="1" applyNumberFormat="1" applyFont="1" applyFill="1" applyBorder="1" applyAlignment="1">
      <alignment horizontal="right"/>
    </xf>
    <xf numFmtId="0" fontId="10" fillId="0" borderId="0" xfId="0" applyFont="1" applyFill="1"/>
    <xf numFmtId="0" fontId="10" fillId="15" borderId="0" xfId="0" applyFont="1" applyFill="1" applyBorder="1"/>
    <xf numFmtId="0" fontId="22" fillId="15" borderId="0" xfId="0" applyFont="1" applyFill="1"/>
    <xf numFmtId="0" fontId="19" fillId="15" borderId="0" xfId="0" applyFont="1" applyFill="1"/>
    <xf numFmtId="0" fontId="10" fillId="15" borderId="0" xfId="0" applyFont="1" applyFill="1"/>
    <xf numFmtId="0" fontId="12" fillId="15" borderId="0" xfId="0" applyFont="1" applyFill="1"/>
    <xf numFmtId="0" fontId="25" fillId="15" borderId="3" xfId="0" applyFont="1" applyFill="1" applyBorder="1"/>
    <xf numFmtId="188" fontId="10" fillId="15" borderId="0" xfId="0" applyNumberFormat="1" applyFont="1" applyFill="1"/>
    <xf numFmtId="182" fontId="10" fillId="15" borderId="0" xfId="1" applyNumberFormat="1" applyFont="1" applyFill="1" applyAlignment="1">
      <alignment horizontal="right"/>
    </xf>
    <xf numFmtId="182" fontId="10" fillId="15" borderId="16" xfId="1" applyNumberFormat="1" applyFont="1" applyFill="1" applyBorder="1" applyAlignment="1">
      <alignment horizontal="right"/>
    </xf>
    <xf numFmtId="0" fontId="70" fillId="2" borderId="0" xfId="0" applyFont="1" applyFill="1"/>
    <xf numFmtId="0" fontId="70" fillId="2" borderId="0" xfId="0" applyFont="1" applyFill="1" applyAlignment="1">
      <alignment horizontal="center"/>
    </xf>
    <xf numFmtId="182" fontId="70" fillId="2" borderId="0" xfId="1" applyNumberFormat="1" applyFont="1" applyFill="1" applyAlignment="1">
      <alignment horizontal="right"/>
    </xf>
    <xf numFmtId="0" fontId="70" fillId="15" borderId="0" xfId="0" applyFont="1" applyFill="1"/>
    <xf numFmtId="0" fontId="62" fillId="0" borderId="0" xfId="0" applyFont="1" applyFill="1" applyBorder="1" applyAlignment="1">
      <alignment horizontal="center"/>
    </xf>
    <xf numFmtId="0" fontId="63" fillId="7" borderId="7" xfId="0" applyFont="1" applyFill="1" applyBorder="1" applyAlignment="1">
      <alignment horizontal="center"/>
    </xf>
    <xf numFmtId="0" fontId="63" fillId="7" borderId="8" xfId="0" applyFont="1" applyFill="1" applyBorder="1" applyAlignment="1">
      <alignment horizontal="center"/>
    </xf>
    <xf numFmtId="173" fontId="53" fillId="5" borderId="8" xfId="0" quotePrefix="1" applyNumberFormat="1" applyFont="1" applyFill="1" applyBorder="1" applyAlignment="1">
      <alignment horizontal="center"/>
    </xf>
    <xf numFmtId="177" fontId="64" fillId="0" borderId="0" xfId="0" applyNumberFormat="1" applyFont="1" applyFill="1" applyBorder="1" applyAlignment="1">
      <alignment horizontal="center"/>
    </xf>
    <xf numFmtId="169" fontId="64" fillId="5" borderId="3" xfId="0" applyNumberFormat="1" applyFont="1" applyFill="1" applyBorder="1" applyAlignment="1">
      <alignment horizontal="center"/>
    </xf>
    <xf numFmtId="0" fontId="62" fillId="7" borderId="8" xfId="0" applyFont="1" applyFill="1" applyBorder="1"/>
    <xf numFmtId="176" fontId="62" fillId="7" borderId="7" xfId="0" applyNumberFormat="1" applyFont="1" applyFill="1" applyBorder="1" applyAlignment="1">
      <alignment horizontal="center"/>
    </xf>
    <xf numFmtId="3" fontId="64" fillId="0" borderId="0" xfId="0" applyNumberFormat="1" applyFont="1" applyFill="1" applyBorder="1" applyAlignment="1">
      <alignment horizontal="center"/>
    </xf>
    <xf numFmtId="169" fontId="64" fillId="7" borderId="8" xfId="0" applyNumberFormat="1" applyFont="1" applyFill="1" applyBorder="1" applyAlignment="1">
      <alignment horizontal="center"/>
    </xf>
    <xf numFmtId="169" fontId="64" fillId="7" borderId="9" xfId="0" applyNumberFormat="1" applyFont="1" applyFill="1" applyBorder="1" applyAlignment="1">
      <alignment horizontal="center"/>
    </xf>
    <xf numFmtId="169" fontId="64" fillId="7" borderId="7" xfId="0" applyNumberFormat="1" applyFont="1" applyFill="1" applyBorder="1" applyAlignment="1">
      <alignment horizontal="center"/>
    </xf>
    <xf numFmtId="176" fontId="53" fillId="5" borderId="10" xfId="0" applyNumberFormat="1" applyFont="1" applyFill="1" applyBorder="1" applyAlignment="1">
      <alignment horizontal="center"/>
    </xf>
    <xf numFmtId="176" fontId="64" fillId="5" borderId="13" xfId="0" applyNumberFormat="1" applyFont="1" applyFill="1" applyBorder="1" applyAlignment="1">
      <alignment horizontal="center"/>
    </xf>
    <xf numFmtId="169" fontId="64" fillId="5" borderId="5" xfId="0" applyNumberFormat="1" applyFont="1" applyFill="1" applyBorder="1" applyAlignment="1">
      <alignment horizontal="center"/>
    </xf>
    <xf numFmtId="176" fontId="53" fillId="5" borderId="7" xfId="0" applyNumberFormat="1" applyFont="1" applyFill="1" applyBorder="1" applyAlignment="1">
      <alignment horizontal="center"/>
    </xf>
    <xf numFmtId="0" fontId="53" fillId="5" borderId="4" xfId="0" applyFont="1" applyFill="1" applyBorder="1"/>
    <xf numFmtId="176" fontId="53" fillId="5" borderId="11" xfId="0" applyNumberFormat="1" applyFont="1" applyFill="1" applyBorder="1" applyAlignment="1">
      <alignment horizontal="center"/>
    </xf>
    <xf numFmtId="175" fontId="62" fillId="6" borderId="7" xfId="0" applyNumberFormat="1" applyFont="1" applyFill="1" applyBorder="1" applyAlignment="1">
      <alignment horizontal="center"/>
    </xf>
    <xf numFmtId="0" fontId="53" fillId="5" borderId="4" xfId="0" applyFont="1" applyFill="1" applyBorder="1" applyAlignment="1">
      <alignment horizontal="left"/>
    </xf>
    <xf numFmtId="176" fontId="64" fillId="5" borderId="7" xfId="0" applyNumberFormat="1" applyFont="1" applyFill="1" applyBorder="1" applyAlignment="1">
      <alignment horizontal="center"/>
    </xf>
    <xf numFmtId="169" fontId="64" fillId="5" borderId="2" xfId="0" applyNumberFormat="1" applyFont="1" applyFill="1" applyBorder="1" applyAlignment="1">
      <alignment horizontal="center"/>
    </xf>
    <xf numFmtId="176" fontId="62" fillId="6" borderId="10" xfId="0" applyNumberFormat="1" applyFont="1" applyFill="1" applyBorder="1" applyAlignment="1">
      <alignment horizontal="center"/>
    </xf>
    <xf numFmtId="176" fontId="62" fillId="6" borderId="7" xfId="0" applyNumberFormat="1" applyFont="1" applyFill="1" applyBorder="1" applyAlignment="1">
      <alignment horizontal="center"/>
    </xf>
    <xf numFmtId="169" fontId="62" fillId="6" borderId="3" xfId="0" applyNumberFormat="1" applyFont="1" applyFill="1" applyBorder="1" applyAlignment="1">
      <alignment horizontal="center"/>
    </xf>
    <xf numFmtId="169" fontId="62" fillId="6" borderId="8" xfId="0" applyNumberFormat="1" applyFont="1" applyFill="1" applyBorder="1" applyAlignment="1">
      <alignment horizontal="center"/>
    </xf>
    <xf numFmtId="0" fontId="53" fillId="5" borderId="12" xfId="0" applyFont="1" applyFill="1" applyBorder="1" applyAlignment="1">
      <alignment horizontal="left"/>
    </xf>
    <xf numFmtId="0" fontId="64" fillId="0" borderId="0" xfId="0" applyFont="1" applyAlignment="1">
      <alignment horizontal="center"/>
    </xf>
    <xf numFmtId="176" fontId="65" fillId="0" borderId="0" xfId="0" applyNumberFormat="1" applyFont="1" applyAlignment="1">
      <alignment horizontal="center"/>
    </xf>
    <xf numFmtId="0" fontId="64" fillId="0" borderId="0" xfId="0" applyFont="1" applyFill="1" applyBorder="1" applyAlignment="1">
      <alignment horizontal="center"/>
    </xf>
    <xf numFmtId="3" fontId="64" fillId="0" borderId="0" xfId="0" applyNumberFormat="1" applyFont="1" applyBorder="1" applyAlignment="1">
      <alignment horizontal="center"/>
    </xf>
    <xf numFmtId="167" fontId="67" fillId="0" borderId="0" xfId="1" applyNumberFormat="1" applyFont="1"/>
    <xf numFmtId="167" fontId="67" fillId="5" borderId="8" xfId="1" applyNumberFormat="1" applyFont="1" applyFill="1" applyBorder="1"/>
    <xf numFmtId="0" fontId="67" fillId="5" borderId="7" xfId="0" applyFont="1" applyFill="1" applyBorder="1"/>
    <xf numFmtId="176" fontId="67" fillId="5" borderId="7" xfId="1" applyNumberFormat="1" applyFont="1" applyFill="1" applyBorder="1" applyAlignment="1">
      <alignment horizontal="center"/>
    </xf>
    <xf numFmtId="0" fontId="67" fillId="0" borderId="0" xfId="0" applyFont="1" applyFill="1" applyBorder="1" applyAlignment="1">
      <alignment horizontal="center"/>
    </xf>
    <xf numFmtId="169" fontId="67" fillId="5" borderId="3" xfId="0" applyNumberFormat="1" applyFont="1" applyFill="1" applyBorder="1" applyAlignment="1">
      <alignment horizontal="center"/>
    </xf>
    <xf numFmtId="0" fontId="67" fillId="0" borderId="0" xfId="0" applyFont="1"/>
    <xf numFmtId="0" fontId="53" fillId="0" borderId="0" xfId="0" applyFont="1" applyFill="1" applyBorder="1" applyAlignment="1">
      <alignment horizontal="center"/>
    </xf>
    <xf numFmtId="171" fontId="53" fillId="5" borderId="5" xfId="0" applyNumberFormat="1" applyFont="1" applyFill="1" applyBorder="1" applyAlignment="1">
      <alignment horizontal="center"/>
    </xf>
    <xf numFmtId="171" fontId="53" fillId="5" borderId="3" xfId="0" applyNumberFormat="1" applyFont="1" applyFill="1" applyBorder="1" applyAlignment="1">
      <alignment horizontal="center"/>
    </xf>
    <xf numFmtId="177" fontId="53" fillId="0" borderId="0" xfId="0" applyNumberFormat="1" applyFont="1" applyFill="1" applyBorder="1"/>
    <xf numFmtId="169" fontId="53" fillId="5" borderId="3" xfId="0" applyNumberFormat="1" applyFont="1" applyFill="1" applyBorder="1" applyAlignment="1">
      <alignment horizontal="center"/>
    </xf>
    <xf numFmtId="0" fontId="53" fillId="5" borderId="3" xfId="0" applyFont="1" applyFill="1" applyBorder="1"/>
    <xf numFmtId="168" fontId="53" fillId="5" borderId="3" xfId="0" applyNumberFormat="1" applyFont="1" applyFill="1" applyBorder="1" applyAlignment="1">
      <alignment horizontal="center"/>
    </xf>
    <xf numFmtId="0" fontId="53" fillId="0" borderId="0" xfId="0" applyFont="1" applyFill="1" applyBorder="1"/>
    <xf numFmtId="168" fontId="53" fillId="5" borderId="5" xfId="2" applyNumberFormat="1" applyFont="1" applyFill="1" applyBorder="1" applyAlignment="1">
      <alignment horizontal="center"/>
    </xf>
    <xf numFmtId="169" fontId="53" fillId="0" borderId="0" xfId="0" applyNumberFormat="1" applyFont="1" applyAlignment="1">
      <alignment horizontal="center"/>
    </xf>
    <xf numFmtId="169" fontId="62" fillId="6" borderId="0" xfId="0" applyNumberFormat="1" applyFont="1" applyFill="1" applyBorder="1" applyAlignment="1">
      <alignment horizontal="center"/>
    </xf>
    <xf numFmtId="0" fontId="53" fillId="5" borderId="1" xfId="0" quotePrefix="1" applyFont="1" applyFill="1" applyBorder="1"/>
    <xf numFmtId="0" fontId="53" fillId="5" borderId="12" xfId="0" quotePrefix="1" applyFont="1" applyFill="1" applyBorder="1"/>
    <xf numFmtId="173" fontId="10" fillId="0" borderId="0" xfId="0" applyNumberFormat="1" applyFont="1" applyAlignment="1">
      <alignment wrapText="1"/>
    </xf>
    <xf numFmtId="0" fontId="10" fillId="0" borderId="0" xfId="0" applyFont="1" applyFill="1" applyBorder="1" applyAlignment="1"/>
    <xf numFmtId="10" fontId="10" fillId="0" borderId="0" xfId="0" applyNumberFormat="1" applyFont="1" applyFill="1" applyBorder="1" applyAlignment="1"/>
    <xf numFmtId="189" fontId="10" fillId="5" borderId="3" xfId="1" applyNumberFormat="1" applyFont="1" applyFill="1" applyBorder="1" applyAlignment="1">
      <alignment horizontal="center"/>
    </xf>
    <xf numFmtId="189" fontId="13" fillId="5" borderId="3" xfId="0" applyNumberFormat="1" applyFont="1" applyFill="1" applyBorder="1" applyAlignment="1">
      <alignment horizontal="center"/>
    </xf>
    <xf numFmtId="177" fontId="10" fillId="0" borderId="0" xfId="0" applyNumberFormat="1" applyFont="1"/>
    <xf numFmtId="190" fontId="10" fillId="0" borderId="0" xfId="0" applyNumberFormat="1" applyFont="1"/>
    <xf numFmtId="168" fontId="10" fillId="0" borderId="0" xfId="2" applyNumberFormat="1" applyFont="1"/>
    <xf numFmtId="10" fontId="10" fillId="0" borderId="0" xfId="2" applyNumberFormat="1" applyFont="1"/>
    <xf numFmtId="1" fontId="10" fillId="0" borderId="0" xfId="0" applyNumberFormat="1" applyFont="1"/>
    <xf numFmtId="173" fontId="10" fillId="0" borderId="0" xfId="0" applyNumberFormat="1" applyFont="1" applyAlignment="1">
      <alignment horizontal="right" wrapText="1"/>
    </xf>
    <xf numFmtId="0" fontId="25" fillId="0" borderId="0" xfId="0" applyFont="1"/>
    <xf numFmtId="173" fontId="25" fillId="0" borderId="0" xfId="0" applyNumberFormat="1" applyFont="1"/>
    <xf numFmtId="0" fontId="71" fillId="0" borderId="0" xfId="0" applyFont="1"/>
    <xf numFmtId="182" fontId="70" fillId="2" borderId="0" xfId="1" applyNumberFormat="1" applyFont="1" applyFill="1" applyAlignment="1">
      <alignment horizontal="left"/>
    </xf>
    <xf numFmtId="190" fontId="10" fillId="0" borderId="0" xfId="0" applyNumberFormat="1" applyFont="1" applyAlignment="1">
      <alignment horizontal="center"/>
    </xf>
    <xf numFmtId="191" fontId="10" fillId="5" borderId="7" xfId="0" applyNumberFormat="1" applyFont="1" applyFill="1" applyBorder="1" applyAlignment="1">
      <alignment horizontal="center"/>
    </xf>
    <xf numFmtId="0" fontId="27" fillId="5" borderId="0" xfId="0" applyFont="1" applyFill="1" applyBorder="1" applyAlignment="1">
      <alignment horizontal="left"/>
    </xf>
    <xf numFmtId="0" fontId="27" fillId="5" borderId="0" xfId="0" applyFont="1" applyFill="1" applyBorder="1" applyAlignment="1">
      <alignment horizontal="center"/>
    </xf>
    <xf numFmtId="176" fontId="27" fillId="5" borderId="0" xfId="0" applyNumberFormat="1" applyFont="1" applyFill="1" applyBorder="1" applyAlignment="1">
      <alignment horizontal="center"/>
    </xf>
    <xf numFmtId="169" fontId="27" fillId="5" borderId="0" xfId="0" applyNumberFormat="1" applyFont="1" applyFill="1" applyBorder="1" applyAlignment="1">
      <alignment horizontal="center"/>
    </xf>
    <xf numFmtId="175" fontId="10" fillId="5" borderId="3" xfId="0" applyNumberFormat="1" applyFont="1" applyFill="1" applyBorder="1" applyAlignment="1">
      <alignment horizontal="right"/>
    </xf>
    <xf numFmtId="175" fontId="11" fillId="2" borderId="0" xfId="0" applyNumberFormat="1" applyFont="1" applyFill="1" applyAlignment="1">
      <alignment horizontal="right"/>
    </xf>
    <xf numFmtId="175" fontId="15" fillId="6" borderId="3" xfId="0" applyNumberFormat="1" applyFont="1" applyFill="1" applyBorder="1" applyAlignment="1">
      <alignment horizontal="right"/>
    </xf>
    <xf numFmtId="175" fontId="11" fillId="0" borderId="0" xfId="0" applyNumberFormat="1" applyFont="1" applyAlignment="1">
      <alignment horizontal="right"/>
    </xf>
    <xf numFmtId="175" fontId="27" fillId="5" borderId="3" xfId="0" applyNumberFormat="1" applyFont="1" applyFill="1" applyBorder="1" applyAlignment="1">
      <alignment horizontal="right"/>
    </xf>
    <xf numFmtId="169" fontId="53" fillId="4" borderId="8" xfId="0" applyNumberFormat="1" applyFont="1" applyFill="1" applyBorder="1" applyAlignment="1">
      <alignment horizontal="left"/>
    </xf>
    <xf numFmtId="0" fontId="53" fillId="4" borderId="9" xfId="0" applyFont="1" applyFill="1" applyBorder="1" applyAlignment="1"/>
    <xf numFmtId="0" fontId="53" fillId="4" borderId="9" xfId="0" applyFont="1" applyFill="1" applyBorder="1" applyAlignment="1">
      <alignment horizontal="center"/>
    </xf>
    <xf numFmtId="0" fontId="53" fillId="4" borderId="7" xfId="0" applyFont="1" applyFill="1" applyBorder="1" applyAlignment="1"/>
    <xf numFmtId="168" fontId="72" fillId="0" borderId="7" xfId="2" applyNumberFormat="1" applyFont="1" applyBorder="1" applyAlignment="1">
      <alignment horizontal="center" shrinkToFit="1"/>
    </xf>
    <xf numFmtId="0" fontId="53" fillId="0" borderId="0" xfId="0" applyFont="1" applyAlignment="1"/>
    <xf numFmtId="168" fontId="72" fillId="2" borderId="7" xfId="2" applyNumberFormat="1" applyFont="1" applyFill="1" applyBorder="1" applyAlignment="1">
      <alignment horizontal="center" shrinkToFit="1"/>
    </xf>
    <xf numFmtId="0" fontId="53" fillId="4" borderId="8" xfId="0" applyFont="1" applyFill="1" applyBorder="1"/>
    <xf numFmtId="0" fontId="53" fillId="4" borderId="8" xfId="0" applyFont="1" applyFill="1" applyBorder="1" applyAlignment="1"/>
    <xf numFmtId="169" fontId="67" fillId="0" borderId="3" xfId="0" applyNumberFormat="1" applyFont="1" applyBorder="1" applyAlignment="1">
      <alignment horizontal="center"/>
    </xf>
    <xf numFmtId="0" fontId="53" fillId="4" borderId="3" xfId="0" applyFont="1" applyFill="1" applyBorder="1" applyAlignment="1">
      <alignment horizontal="left"/>
    </xf>
    <xf numFmtId="168" fontId="53" fillId="4" borderId="3" xfId="2" applyNumberFormat="1" applyFont="1" applyFill="1" applyBorder="1" applyAlignment="1" applyProtection="1">
      <alignment horizontal="center"/>
    </xf>
    <xf numFmtId="0" fontId="53" fillId="4" borderId="8" xfId="0" applyFont="1" applyFill="1" applyBorder="1" applyAlignment="1">
      <alignment horizontal="left"/>
    </xf>
    <xf numFmtId="169" fontId="53" fillId="4" borderId="7" xfId="0" applyNumberFormat="1" applyFont="1" applyFill="1" applyBorder="1" applyAlignment="1">
      <alignment horizontal="center"/>
    </xf>
    <xf numFmtId="168" fontId="67" fillId="0" borderId="7" xfId="2" applyNumberFormat="1" applyFont="1" applyBorder="1" applyAlignment="1">
      <alignment horizontal="center"/>
    </xf>
    <xf numFmtId="0" fontId="53" fillId="4" borderId="0" xfId="0" applyFont="1" applyFill="1" applyBorder="1" applyAlignment="1">
      <alignment horizontal="left"/>
    </xf>
    <xf numFmtId="0" fontId="53" fillId="4" borderId="0" xfId="0" applyFont="1" applyFill="1" applyBorder="1" applyAlignment="1"/>
    <xf numFmtId="169" fontId="53" fillId="4" borderId="0" xfId="0" applyNumberFormat="1" applyFont="1" applyFill="1" applyBorder="1" applyAlignment="1">
      <alignment horizontal="center"/>
    </xf>
    <xf numFmtId="168" fontId="67" fillId="0" borderId="0" xfId="2" applyNumberFormat="1" applyFont="1" applyBorder="1" applyAlignment="1">
      <alignment horizontal="center"/>
    </xf>
    <xf numFmtId="168" fontId="53" fillId="4" borderId="0" xfId="2" applyNumberFormat="1" applyFont="1" applyFill="1" applyBorder="1" applyAlignment="1" applyProtection="1">
      <alignment horizontal="center"/>
    </xf>
    <xf numFmtId="169" fontId="10" fillId="4" borderId="0" xfId="0" applyNumberFormat="1" applyFont="1" applyFill="1" applyBorder="1" applyAlignment="1">
      <alignment horizontal="left"/>
    </xf>
    <xf numFmtId="192" fontId="10" fillId="5" borderId="3" xfId="1" applyNumberFormat="1" applyFont="1" applyFill="1" applyBorder="1" applyAlignment="1">
      <alignment horizontal="center"/>
    </xf>
    <xf numFmtId="169" fontId="17" fillId="10" borderId="3" xfId="0" applyNumberFormat="1" applyFont="1" applyFill="1" applyBorder="1" applyAlignment="1">
      <alignment horizontal="center"/>
    </xf>
    <xf numFmtId="0" fontId="11" fillId="0" borderId="0" xfId="0" applyFont="1" applyFill="1" applyBorder="1" applyAlignment="1">
      <alignment horizontal="center"/>
    </xf>
    <xf numFmtId="169" fontId="13" fillId="0" borderId="0" xfId="0" applyNumberFormat="1" applyFont="1" applyFill="1" applyBorder="1" applyAlignment="1">
      <alignment horizontal="center"/>
    </xf>
    <xf numFmtId="0" fontId="10" fillId="0" borderId="0" xfId="0" applyFont="1" applyFill="1" applyBorder="1" applyAlignment="1">
      <alignment horizontal="left"/>
    </xf>
    <xf numFmtId="168" fontId="10" fillId="0" borderId="0" xfId="2" applyNumberFormat="1" applyFont="1" applyFill="1" applyBorder="1" applyAlignment="1" applyProtection="1">
      <alignment horizontal="center"/>
    </xf>
    <xf numFmtId="169" fontId="10" fillId="0" borderId="0" xfId="0" applyNumberFormat="1" applyFont="1" applyFill="1" applyBorder="1" applyAlignment="1">
      <alignment horizontal="center"/>
    </xf>
    <xf numFmtId="168" fontId="13" fillId="0" borderId="0" xfId="2" applyNumberFormat="1" applyFont="1" applyFill="1" applyBorder="1" applyAlignment="1">
      <alignment horizontal="center"/>
    </xf>
    <xf numFmtId="0" fontId="42" fillId="0" borderId="0" xfId="0" applyFont="1" applyFill="1" applyBorder="1"/>
    <xf numFmtId="0" fontId="17" fillId="0" borderId="0" xfId="0" applyFont="1" applyFill="1" applyBorder="1" applyAlignment="1">
      <alignment horizontal="center"/>
    </xf>
    <xf numFmtId="182" fontId="10" fillId="0" borderId="0" xfId="1" applyNumberFormat="1" applyFont="1" applyFill="1" applyBorder="1"/>
    <xf numFmtId="0" fontId="10" fillId="10" borderId="0" xfId="0" applyFont="1" applyFill="1" applyBorder="1"/>
    <xf numFmtId="0" fontId="22" fillId="10" borderId="0" xfId="0" applyFont="1" applyFill="1"/>
    <xf numFmtId="0" fontId="19" fillId="10" borderId="0" xfId="0" applyFont="1" applyFill="1"/>
    <xf numFmtId="0" fontId="12" fillId="10" borderId="0" xfId="0" applyFont="1" applyFill="1"/>
    <xf numFmtId="0" fontId="25" fillId="10" borderId="3" xfId="0" applyFont="1" applyFill="1" applyBorder="1"/>
    <xf numFmtId="188" fontId="10" fillId="10" borderId="0" xfId="0" applyNumberFormat="1" applyFont="1" applyFill="1"/>
    <xf numFmtId="182" fontId="10" fillId="10" borderId="0" xfId="1" applyNumberFormat="1" applyFont="1" applyFill="1" applyAlignment="1">
      <alignment horizontal="right"/>
    </xf>
    <xf numFmtId="182" fontId="10" fillId="10" borderId="16" xfId="1" applyNumberFormat="1" applyFont="1" applyFill="1" applyBorder="1" applyAlignment="1">
      <alignment horizontal="right"/>
    </xf>
    <xf numFmtId="0" fontId="70" fillId="10" borderId="0" xfId="0" applyFont="1" applyFill="1"/>
    <xf numFmtId="2" fontId="10" fillId="0" borderId="0" xfId="0" applyNumberFormat="1" applyFont="1"/>
    <xf numFmtId="169" fontId="10" fillId="10" borderId="0" xfId="0" applyNumberFormat="1" applyFont="1" applyFill="1"/>
    <xf numFmtId="0" fontId="73" fillId="0" borderId="12" xfId="0" applyFont="1" applyFill="1" applyBorder="1"/>
    <xf numFmtId="0" fontId="10" fillId="0" borderId="3" xfId="0" applyFont="1" applyFill="1" applyBorder="1" applyAlignment="1">
      <alignment horizontal="center"/>
    </xf>
    <xf numFmtId="176" fontId="10" fillId="0" borderId="7" xfId="0" applyNumberFormat="1" applyFont="1" applyFill="1" applyBorder="1" applyAlignment="1">
      <alignment horizontal="right"/>
    </xf>
    <xf numFmtId="179" fontId="10" fillId="0" borderId="7" xfId="0" applyNumberFormat="1" applyFont="1" applyFill="1" applyBorder="1" applyAlignment="1">
      <alignment horizontal="right"/>
    </xf>
    <xf numFmtId="179" fontId="10" fillId="0" borderId="0" xfId="0" applyNumberFormat="1" applyFont="1" applyFill="1" applyBorder="1" applyAlignment="1">
      <alignment horizontal="right"/>
    </xf>
    <xf numFmtId="175" fontId="10" fillId="0" borderId="0" xfId="0" applyNumberFormat="1" applyFont="1" applyFill="1" applyBorder="1" applyAlignment="1">
      <alignment horizontal="right"/>
    </xf>
    <xf numFmtId="0" fontId="17" fillId="0" borderId="12" xfId="0" applyFont="1" applyFill="1" applyBorder="1" applyAlignment="1">
      <alignment horizontal="left"/>
    </xf>
    <xf numFmtId="169" fontId="17" fillId="0" borderId="5" xfId="0" applyNumberFormat="1" applyFont="1" applyFill="1" applyBorder="1" applyAlignment="1">
      <alignment horizontal="right"/>
    </xf>
    <xf numFmtId="169" fontId="17" fillId="0" borderId="3" xfId="0" applyNumberFormat="1" applyFont="1" applyFill="1" applyBorder="1" applyAlignment="1">
      <alignment horizontal="right"/>
    </xf>
    <xf numFmtId="0" fontId="73" fillId="0" borderId="4" xfId="0" applyFont="1" applyFill="1" applyBorder="1"/>
    <xf numFmtId="0" fontId="73" fillId="0" borderId="0" xfId="0" applyFont="1" applyFill="1" applyBorder="1"/>
    <xf numFmtId="3" fontId="17" fillId="0" borderId="18" xfId="0" applyNumberFormat="1" applyFont="1" applyFill="1" applyBorder="1" applyAlignment="1">
      <alignment horizontal="right"/>
    </xf>
    <xf numFmtId="179" fontId="17" fillId="0" borderId="18" xfId="0" applyNumberFormat="1" applyFont="1" applyFill="1" applyBorder="1" applyAlignment="1">
      <alignment horizontal="right"/>
    </xf>
    <xf numFmtId="0" fontId="18" fillId="10" borderId="3" xfId="0" applyFont="1" applyFill="1" applyBorder="1" applyAlignment="1">
      <alignment horizontal="center"/>
    </xf>
    <xf numFmtId="179" fontId="10" fillId="10" borderId="3" xfId="0" applyNumberFormat="1" applyFont="1" applyFill="1" applyBorder="1" applyAlignment="1">
      <alignment horizontal="center"/>
    </xf>
    <xf numFmtId="169" fontId="10" fillId="10" borderId="3" xfId="0" applyNumberFormat="1" applyFont="1" applyFill="1" applyBorder="1" applyAlignment="1">
      <alignment horizontal="center"/>
    </xf>
    <xf numFmtId="169" fontId="27" fillId="10" borderId="3" xfId="0" applyNumberFormat="1" applyFont="1" applyFill="1" applyBorder="1" applyAlignment="1">
      <alignment horizontal="center"/>
    </xf>
    <xf numFmtId="169" fontId="27" fillId="10" borderId="0" xfId="0" applyNumberFormat="1" applyFont="1" applyFill="1" applyBorder="1" applyAlignment="1">
      <alignment horizontal="center"/>
    </xf>
    <xf numFmtId="0" fontId="63" fillId="10" borderId="3" xfId="0" applyFont="1" applyFill="1" applyBorder="1" applyAlignment="1">
      <alignment horizontal="center"/>
    </xf>
    <xf numFmtId="169" fontId="64" fillId="10" borderId="3" xfId="0" applyNumberFormat="1" applyFont="1" applyFill="1" applyBorder="1" applyAlignment="1">
      <alignment horizontal="center"/>
    </xf>
    <xf numFmtId="169" fontId="64" fillId="10" borderId="5" xfId="0" applyNumberFormat="1" applyFont="1" applyFill="1" applyBorder="1" applyAlignment="1">
      <alignment horizontal="center"/>
    </xf>
    <xf numFmtId="169" fontId="64" fillId="10" borderId="2" xfId="0" applyNumberFormat="1" applyFont="1" applyFill="1" applyBorder="1" applyAlignment="1">
      <alignment horizontal="center"/>
    </xf>
    <xf numFmtId="169" fontId="62" fillId="10" borderId="8" xfId="0" applyNumberFormat="1" applyFont="1" applyFill="1" applyBorder="1" applyAlignment="1">
      <alignment horizontal="center"/>
    </xf>
    <xf numFmtId="3" fontId="64" fillId="10" borderId="0" xfId="0" applyNumberFormat="1" applyFont="1" applyFill="1" applyBorder="1" applyAlignment="1">
      <alignment horizontal="center"/>
    </xf>
    <xf numFmtId="169" fontId="67" fillId="10" borderId="3" xfId="0" applyNumberFormat="1" applyFont="1" applyFill="1" applyBorder="1" applyAlignment="1">
      <alignment horizontal="center"/>
    </xf>
    <xf numFmtId="0" fontId="53" fillId="10" borderId="0" xfId="0" applyFont="1" applyFill="1" applyAlignment="1">
      <alignment horizontal="center"/>
    </xf>
    <xf numFmtId="0" fontId="62" fillId="10" borderId="0" xfId="0" applyFont="1" applyFill="1" applyBorder="1" applyAlignment="1">
      <alignment horizontal="center"/>
    </xf>
    <xf numFmtId="169" fontId="53" fillId="10" borderId="3" xfId="0" applyNumberFormat="1" applyFont="1" applyFill="1" applyBorder="1" applyAlignment="1">
      <alignment horizontal="center"/>
    </xf>
    <xf numFmtId="169" fontId="53" fillId="10" borderId="0" xfId="0" applyNumberFormat="1" applyFont="1" applyFill="1" applyAlignment="1">
      <alignment horizontal="center"/>
    </xf>
    <xf numFmtId="169" fontId="62" fillId="10" borderId="0" xfId="0" applyNumberFormat="1" applyFont="1" applyFill="1" applyBorder="1" applyAlignment="1">
      <alignment horizontal="center"/>
    </xf>
    <xf numFmtId="179" fontId="10" fillId="10" borderId="7" xfId="0" applyNumberFormat="1" applyFont="1" applyFill="1" applyBorder="1" applyAlignment="1">
      <alignment horizontal="right"/>
    </xf>
    <xf numFmtId="169" fontId="17" fillId="10" borderId="5" xfId="0" applyNumberFormat="1" applyFont="1" applyFill="1" applyBorder="1" applyAlignment="1">
      <alignment horizontal="right"/>
    </xf>
    <xf numFmtId="169" fontId="17" fillId="10" borderId="3" xfId="0" applyNumberFormat="1" applyFont="1" applyFill="1" applyBorder="1" applyAlignment="1">
      <alignment horizontal="right"/>
    </xf>
    <xf numFmtId="0" fontId="10" fillId="10" borderId="0" xfId="0" applyFont="1" applyFill="1" applyBorder="1" applyAlignment="1">
      <alignment horizontal="center"/>
    </xf>
    <xf numFmtId="188" fontId="10" fillId="2" borderId="0" xfId="0" applyNumberFormat="1" applyFont="1" applyFill="1" applyAlignment="1">
      <alignment horizontal="center"/>
    </xf>
    <xf numFmtId="193" fontId="70" fillId="2" borderId="0" xfId="0" applyNumberFormat="1" applyFont="1" applyFill="1"/>
    <xf numFmtId="193" fontId="70" fillId="10" borderId="0" xfId="0" applyNumberFormat="1" applyFont="1" applyFill="1"/>
    <xf numFmtId="193" fontId="70" fillId="15" borderId="0" xfId="0" applyNumberFormat="1" applyFont="1" applyFill="1"/>
    <xf numFmtId="169" fontId="10" fillId="15" borderId="0" xfId="0" applyNumberFormat="1" applyFont="1" applyFill="1"/>
    <xf numFmtId="169" fontId="64" fillId="10" borderId="7" xfId="0" applyNumberFormat="1" applyFont="1" applyFill="1" applyBorder="1" applyAlignment="1">
      <alignment horizontal="center"/>
    </xf>
    <xf numFmtId="3" fontId="17" fillId="10" borderId="18" xfId="0" applyNumberFormat="1" applyFont="1" applyFill="1" applyBorder="1" applyAlignment="1">
      <alignment horizontal="right"/>
    </xf>
    <xf numFmtId="194" fontId="17" fillId="0" borderId="5" xfId="2" applyNumberFormat="1" applyFont="1" applyFill="1" applyBorder="1" applyAlignment="1">
      <alignment horizontal="center"/>
    </xf>
    <xf numFmtId="0" fontId="10" fillId="0" borderId="0" xfId="0" applyFont="1" applyFill="1" applyAlignment="1">
      <alignment horizontal="center"/>
    </xf>
    <xf numFmtId="0" fontId="11" fillId="0" borderId="0" xfId="0" applyFont="1" applyFill="1" applyAlignment="1">
      <alignment horizontal="center"/>
    </xf>
    <xf numFmtId="169" fontId="10" fillId="0" borderId="0" xfId="0" applyNumberFormat="1" applyFont="1" applyFill="1" applyBorder="1" applyAlignment="1">
      <alignment horizontal="left"/>
    </xf>
    <xf numFmtId="168" fontId="36" fillId="0" borderId="0" xfId="2" applyNumberFormat="1" applyFont="1" applyFill="1" applyBorder="1" applyAlignment="1">
      <alignment horizontal="center" shrinkToFit="1"/>
    </xf>
    <xf numFmtId="0" fontId="5" fillId="0" borderId="0" xfId="0" applyFont="1" applyFill="1"/>
    <xf numFmtId="0" fontId="4" fillId="0" borderId="0" xfId="0" applyFont="1" applyFill="1" applyBorder="1"/>
    <xf numFmtId="0" fontId="4" fillId="0" borderId="0" xfId="0" applyFont="1" applyFill="1" applyBorder="1" applyAlignment="1">
      <alignment horizontal="center"/>
    </xf>
    <xf numFmtId="0" fontId="74" fillId="0" borderId="0" xfId="0" applyFont="1" applyFill="1" applyBorder="1" applyAlignment="1">
      <alignment horizontal="center"/>
    </xf>
    <xf numFmtId="0" fontId="4" fillId="0" borderId="0" xfId="0" applyFont="1" applyFill="1" applyBorder="1" applyAlignment="1">
      <alignment horizontal="right"/>
    </xf>
    <xf numFmtId="169" fontId="4" fillId="0" borderId="0" xfId="0" applyNumberFormat="1" applyFont="1" applyFill="1" applyBorder="1" applyAlignment="1">
      <alignment horizontal="center"/>
    </xf>
    <xf numFmtId="169" fontId="4" fillId="0" borderId="0" xfId="0" applyNumberFormat="1" applyFont="1" applyFill="1" applyBorder="1" applyAlignment="1">
      <alignment horizontal="left"/>
    </xf>
    <xf numFmtId="168" fontId="25" fillId="0" borderId="0" xfId="2" applyNumberFormat="1" applyFont="1" applyFill="1" applyBorder="1" applyAlignment="1">
      <alignment horizontal="center" shrinkToFit="1"/>
    </xf>
    <xf numFmtId="179" fontId="4" fillId="0" borderId="0" xfId="0" applyNumberFormat="1" applyFont="1" applyFill="1" applyBorder="1" applyAlignment="1">
      <alignment horizontal="right"/>
    </xf>
    <xf numFmtId="169" fontId="4" fillId="0" borderId="0" xfId="0" applyNumberFormat="1" applyFont="1" applyFill="1" applyBorder="1" applyAlignment="1">
      <alignment horizontal="right"/>
    </xf>
    <xf numFmtId="179" fontId="4" fillId="0" borderId="16" xfId="0" applyNumberFormat="1" applyFont="1" applyFill="1" applyBorder="1"/>
    <xf numFmtId="0" fontId="4" fillId="0" borderId="0" xfId="0" applyFont="1" applyFill="1"/>
    <xf numFmtId="194" fontId="17" fillId="10" borderId="5" xfId="2" applyNumberFormat="1" applyFont="1" applyFill="1" applyBorder="1" applyAlignment="1">
      <alignment horizontal="center"/>
    </xf>
    <xf numFmtId="0" fontId="17" fillId="0" borderId="1" xfId="0" applyFont="1" applyFill="1" applyBorder="1" applyAlignment="1">
      <alignment horizontal="left"/>
    </xf>
    <xf numFmtId="0" fontId="17" fillId="0" borderId="10" xfId="0" applyFont="1" applyFill="1" applyBorder="1" applyAlignment="1">
      <alignment horizontal="center"/>
    </xf>
    <xf numFmtId="176" fontId="17" fillId="0" borderId="3" xfId="0" applyNumberFormat="1" applyFont="1" applyFill="1" applyBorder="1" applyAlignment="1">
      <alignment horizontal="center"/>
    </xf>
    <xf numFmtId="182" fontId="10" fillId="2" borderId="0" xfId="1" applyNumberFormat="1" applyFont="1" applyFill="1" applyBorder="1" applyAlignment="1">
      <alignment horizontal="right"/>
    </xf>
    <xf numFmtId="166" fontId="10" fillId="0" borderId="0" xfId="0" applyNumberFormat="1" applyFont="1" applyFill="1" applyBorder="1" applyAlignment="1">
      <alignment horizontal="center"/>
    </xf>
    <xf numFmtId="182" fontId="10" fillId="0" borderId="0" xfId="1" applyNumberFormat="1" applyFont="1" applyFill="1" applyBorder="1" applyAlignment="1">
      <alignment horizontal="right"/>
    </xf>
    <xf numFmtId="188" fontId="10" fillId="0" borderId="0" xfId="0" applyNumberFormat="1" applyFont="1" applyFill="1" applyBorder="1"/>
    <xf numFmtId="188" fontId="10" fillId="10" borderId="0" xfId="0" applyNumberFormat="1" applyFont="1" applyFill="1" applyBorder="1"/>
    <xf numFmtId="188" fontId="10" fillId="15" borderId="0" xfId="0" applyNumberFormat="1" applyFont="1" applyFill="1" applyBorder="1"/>
    <xf numFmtId="188" fontId="10" fillId="2" borderId="0" xfId="0" applyNumberFormat="1" applyFont="1" applyFill="1" applyAlignment="1">
      <alignment horizontal="right"/>
    </xf>
    <xf numFmtId="188" fontId="10" fillId="10" borderId="0" xfId="0" applyNumberFormat="1" applyFont="1" applyFill="1" applyAlignment="1">
      <alignment horizontal="right"/>
    </xf>
    <xf numFmtId="0" fontId="10" fillId="12" borderId="0" xfId="0" applyFont="1" applyFill="1"/>
    <xf numFmtId="169" fontId="10" fillId="12" borderId="0" xfId="0" applyNumberFormat="1" applyFont="1" applyFill="1"/>
    <xf numFmtId="0" fontId="0" fillId="0" borderId="19" xfId="0" applyBorder="1"/>
    <xf numFmtId="176" fontId="17" fillId="16" borderId="18" xfId="0" applyNumberFormat="1" applyFont="1" applyFill="1" applyBorder="1" applyAlignment="1">
      <alignment horizontal="right"/>
    </xf>
    <xf numFmtId="176" fontId="10" fillId="16" borderId="0" xfId="0" applyNumberFormat="1" applyFont="1" applyFill="1" applyBorder="1" applyAlignment="1">
      <alignment horizontal="right"/>
    </xf>
    <xf numFmtId="176" fontId="17" fillId="0" borderId="3" xfId="0" applyNumberFormat="1" applyFont="1" applyFill="1" applyBorder="1" applyAlignment="1">
      <alignment horizontal="right"/>
    </xf>
    <xf numFmtId="168" fontId="10" fillId="0" borderId="3" xfId="2" applyNumberFormat="1" applyFont="1" applyBorder="1" applyAlignment="1">
      <alignment horizontal="center"/>
    </xf>
    <xf numFmtId="9" fontId="75" fillId="0" borderId="3" xfId="0" applyNumberFormat="1" applyFont="1" applyBorder="1" applyAlignment="1">
      <alignment horizontal="center"/>
    </xf>
    <xf numFmtId="9" fontId="75" fillId="10" borderId="3" xfId="0" applyNumberFormat="1" applyFont="1" applyFill="1" applyBorder="1" applyAlignment="1">
      <alignment horizontal="center"/>
    </xf>
    <xf numFmtId="169" fontId="27" fillId="16" borderId="3" xfId="0" applyNumberFormat="1" applyFont="1" applyFill="1" applyBorder="1" applyAlignment="1">
      <alignment horizontal="center"/>
    </xf>
    <xf numFmtId="0" fontId="10" fillId="5" borderId="0" xfId="0" applyFont="1" applyFill="1" applyBorder="1" applyAlignment="1"/>
    <xf numFmtId="185" fontId="10" fillId="0" borderId="0" xfId="0" applyNumberFormat="1" applyFont="1" applyBorder="1" applyAlignment="1">
      <alignment horizontal="center"/>
    </xf>
    <xf numFmtId="0" fontId="25" fillId="5" borderId="3" xfId="0" quotePrefix="1" applyFont="1" applyFill="1" applyBorder="1" applyAlignment="1">
      <alignment horizontal="center"/>
    </xf>
    <xf numFmtId="0" fontId="25" fillId="5" borderId="3" xfId="0" applyFont="1" applyFill="1" applyBorder="1" applyAlignment="1">
      <alignment horizontal="center"/>
    </xf>
    <xf numFmtId="186" fontId="27" fillId="5" borderId="0" xfId="0" applyNumberFormat="1" applyFont="1" applyFill="1" applyBorder="1" applyAlignment="1">
      <alignment horizontal="center"/>
    </xf>
    <xf numFmtId="169" fontId="27" fillId="17" borderId="3" xfId="0" applyNumberFormat="1" applyFont="1" applyFill="1" applyBorder="1" applyAlignment="1">
      <alignment horizontal="center"/>
    </xf>
    <xf numFmtId="0" fontId="4" fillId="0" borderId="0" xfId="0" applyFont="1" applyFill="1" applyAlignment="1">
      <alignment horizontal="center"/>
    </xf>
    <xf numFmtId="177" fontId="4" fillId="0" borderId="0" xfId="0" applyNumberFormat="1" applyFont="1" applyFill="1" applyBorder="1"/>
    <xf numFmtId="177" fontId="4" fillId="0" borderId="0" xfId="0" applyNumberFormat="1" applyFont="1" applyFill="1" applyBorder="1" applyAlignment="1">
      <alignment horizontal="center"/>
    </xf>
    <xf numFmtId="169" fontId="4" fillId="0" borderId="0" xfId="0" applyNumberFormat="1" applyFont="1" applyFill="1" applyBorder="1"/>
    <xf numFmtId="0" fontId="14" fillId="6" borderId="8" xfId="0" applyFont="1" applyFill="1" applyBorder="1"/>
    <xf numFmtId="0" fontId="14" fillId="6" borderId="12" xfId="0" applyFont="1" applyFill="1" applyBorder="1"/>
    <xf numFmtId="0" fontId="14" fillId="6" borderId="5" xfId="0" applyFont="1" applyFill="1" applyBorder="1" applyAlignment="1">
      <alignment horizontal="center"/>
    </xf>
    <xf numFmtId="0" fontId="76" fillId="0" borderId="12" xfId="0" applyFont="1" applyFill="1" applyBorder="1"/>
    <xf numFmtId="169" fontId="76" fillId="0" borderId="12" xfId="0" applyNumberFormat="1" applyFont="1" applyFill="1" applyBorder="1" applyAlignment="1">
      <alignment horizontal="right"/>
    </xf>
    <xf numFmtId="169" fontId="4" fillId="0" borderId="3" xfId="0" applyNumberFormat="1" applyFont="1" applyFill="1" applyBorder="1" applyAlignment="1">
      <alignment horizontal="right"/>
    </xf>
    <xf numFmtId="0" fontId="76" fillId="0" borderId="4" xfId="0" applyFont="1" applyFill="1" applyBorder="1"/>
    <xf numFmtId="169" fontId="77" fillId="0" borderId="12" xfId="0" applyNumberFormat="1" applyFont="1" applyFill="1" applyBorder="1" applyAlignment="1">
      <alignment horizontal="right"/>
    </xf>
    <xf numFmtId="1" fontId="77" fillId="0" borderId="15" xfId="0" applyNumberFormat="1" applyFont="1" applyFill="1" applyBorder="1" applyAlignment="1">
      <alignment horizontal="right"/>
    </xf>
    <xf numFmtId="169" fontId="77" fillId="0" borderId="4" xfId="0" applyNumberFormat="1" applyFont="1" applyFill="1" applyBorder="1" applyAlignment="1">
      <alignment horizontal="right"/>
    </xf>
    <xf numFmtId="173" fontId="17" fillId="10" borderId="3" xfId="0" applyNumberFormat="1" applyFont="1" applyFill="1" applyBorder="1" applyAlignment="1">
      <alignment horizontal="center"/>
    </xf>
    <xf numFmtId="168" fontId="53" fillId="3" borderId="3" xfId="0" applyNumberFormat="1" applyFont="1" applyFill="1" applyBorder="1" applyAlignment="1" applyProtection="1">
      <alignment horizontal="center"/>
      <protection locked="0"/>
    </xf>
    <xf numFmtId="0" fontId="44" fillId="12" borderId="0" xfId="0" applyFont="1" applyFill="1"/>
    <xf numFmtId="0" fontId="0" fillId="12" borderId="0" xfId="0" applyFill="1"/>
    <xf numFmtId="3" fontId="10" fillId="0" borderId="0" xfId="0" applyNumberFormat="1" applyFont="1" applyFill="1" applyBorder="1" applyAlignment="1">
      <alignment horizontal="right"/>
    </xf>
    <xf numFmtId="3" fontId="10" fillId="10" borderId="0" xfId="0" applyNumberFormat="1" applyFont="1" applyFill="1" applyBorder="1" applyAlignment="1">
      <alignment horizontal="right"/>
    </xf>
    <xf numFmtId="0" fontId="15" fillId="0" borderId="0" xfId="0" applyFont="1" applyFill="1" applyBorder="1"/>
    <xf numFmtId="0" fontId="0" fillId="5" borderId="0" xfId="0" applyFont="1" applyFill="1"/>
    <xf numFmtId="0" fontId="0" fillId="5" borderId="9" xfId="0" applyFont="1" applyFill="1" applyBorder="1"/>
    <xf numFmtId="0" fontId="0" fillId="5" borderId="15" xfId="0" applyFont="1" applyFill="1" applyBorder="1"/>
    <xf numFmtId="0" fontId="0" fillId="0" borderId="0" xfId="0" applyFont="1" applyAlignment="1">
      <alignment horizontal="center"/>
    </xf>
    <xf numFmtId="0" fontId="0" fillId="6" borderId="9" xfId="0" applyFont="1" applyFill="1" applyBorder="1"/>
    <xf numFmtId="0" fontId="0" fillId="5" borderId="13" xfId="0" applyFont="1" applyFill="1" applyBorder="1"/>
    <xf numFmtId="0" fontId="3" fillId="0" borderId="0" xfId="0" applyFont="1" applyFill="1"/>
    <xf numFmtId="186" fontId="0" fillId="0" borderId="0" xfId="0" applyNumberFormat="1" applyAlignment="1">
      <alignment horizontal="right"/>
    </xf>
    <xf numFmtId="1" fontId="0" fillId="0" borderId="9" xfId="0" applyNumberFormat="1" applyBorder="1" applyAlignment="1">
      <alignment horizontal="right"/>
    </xf>
    <xf numFmtId="186" fontId="0" fillId="0" borderId="9" xfId="0" applyNumberFormat="1" applyBorder="1" applyAlignment="1">
      <alignment horizontal="right"/>
    </xf>
    <xf numFmtId="0" fontId="0" fillId="0" borderId="9" xfId="0" applyBorder="1"/>
    <xf numFmtId="9" fontId="10" fillId="2" borderId="0" xfId="2" applyFont="1" applyFill="1" applyBorder="1" applyAlignment="1">
      <alignment horizontal="center"/>
    </xf>
    <xf numFmtId="173" fontId="10" fillId="10" borderId="3" xfId="0" applyNumberFormat="1" applyFont="1" applyFill="1" applyBorder="1" applyAlignment="1">
      <alignment horizontal="center"/>
    </xf>
    <xf numFmtId="174" fontId="20" fillId="0" borderId="0" xfId="0" applyNumberFormat="1" applyFont="1" applyFill="1" applyBorder="1" applyAlignment="1">
      <alignment horizontal="right"/>
    </xf>
    <xf numFmtId="0" fontId="10" fillId="10" borderId="0" xfId="0" applyFont="1" applyFill="1" applyBorder="1" applyAlignment="1"/>
    <xf numFmtId="173" fontId="10" fillId="10" borderId="0" xfId="0" applyNumberFormat="1" applyFont="1" applyFill="1"/>
    <xf numFmtId="168" fontId="10" fillId="10" borderId="0" xfId="0" applyNumberFormat="1" applyFont="1" applyFill="1"/>
    <xf numFmtId="10" fontId="10" fillId="10" borderId="0" xfId="0" applyNumberFormat="1" applyFont="1" applyFill="1"/>
    <xf numFmtId="174" fontId="10" fillId="10" borderId="0" xfId="0" applyNumberFormat="1" applyFont="1" applyFill="1"/>
    <xf numFmtId="1" fontId="10" fillId="10" borderId="0" xfId="0" applyNumberFormat="1" applyFont="1" applyFill="1"/>
    <xf numFmtId="190" fontId="10" fillId="10" borderId="0" xfId="0" applyNumberFormat="1" applyFont="1" applyFill="1"/>
    <xf numFmtId="0" fontId="13" fillId="10" borderId="0" xfId="0" applyFont="1" applyFill="1"/>
    <xf numFmtId="0" fontId="40" fillId="0" borderId="0" xfId="0" applyFont="1" applyAlignment="1">
      <alignment horizontal="right"/>
    </xf>
    <xf numFmtId="1" fontId="40" fillId="0" borderId="0" xfId="0" applyNumberFormat="1" applyFont="1"/>
    <xf numFmtId="0" fontId="79" fillId="0" borderId="0" xfId="0" applyFont="1"/>
    <xf numFmtId="169" fontId="17" fillId="0" borderId="0" xfId="0" applyNumberFormat="1" applyFont="1" applyFill="1" applyBorder="1" applyAlignment="1">
      <alignment horizontal="center"/>
    </xf>
    <xf numFmtId="0" fontId="0" fillId="8" borderId="0" xfId="0" applyFill="1" applyBorder="1" applyAlignment="1">
      <alignment horizontal="right" wrapText="1"/>
    </xf>
    <xf numFmtId="0" fontId="25" fillId="8" borderId="0" xfId="0" applyFont="1" applyFill="1" applyBorder="1"/>
    <xf numFmtId="0" fontId="9" fillId="8" borderId="0" xfId="0" applyFont="1" applyFill="1" applyBorder="1"/>
    <xf numFmtId="169" fontId="17" fillId="0" borderId="0" xfId="0" applyNumberFormat="1" applyFont="1" applyFill="1" applyBorder="1" applyAlignment="1">
      <alignment horizontal="right"/>
    </xf>
    <xf numFmtId="164" fontId="17" fillId="0" borderId="0" xfId="0" applyNumberFormat="1" applyFont="1" applyFill="1" applyBorder="1" applyAlignment="1">
      <alignment horizontal="right"/>
    </xf>
    <xf numFmtId="187" fontId="10" fillId="0" borderId="0" xfId="0" applyNumberFormat="1" applyFont="1" applyFill="1" applyBorder="1" applyAlignment="1">
      <alignment horizontal="right"/>
    </xf>
    <xf numFmtId="176" fontId="17" fillId="0" borderId="0" xfId="0" applyNumberFormat="1" applyFont="1" applyFill="1" applyBorder="1" applyAlignment="1">
      <alignment horizontal="right"/>
    </xf>
    <xf numFmtId="0" fontId="0" fillId="0" borderId="0" xfId="0" applyBorder="1" applyAlignment="1">
      <alignment horizontal="right"/>
    </xf>
    <xf numFmtId="187" fontId="10" fillId="0" borderId="0" xfId="0" applyNumberFormat="1" applyFont="1" applyFill="1" applyAlignment="1">
      <alignment horizontal="right"/>
    </xf>
    <xf numFmtId="0" fontId="0" fillId="0" borderId="0" xfId="0" applyAlignment="1">
      <alignment horizontal="left" vertical="top" wrapText="1"/>
    </xf>
    <xf numFmtId="0" fontId="0" fillId="8" borderId="0" xfId="0" applyFill="1" applyBorder="1" applyAlignment="1">
      <alignment wrapText="1"/>
    </xf>
    <xf numFmtId="0" fontId="80" fillId="0" borderId="0" xfId="0" applyFont="1" applyFill="1" applyBorder="1"/>
    <xf numFmtId="169" fontId="17" fillId="15" borderId="0" xfId="0" applyNumberFormat="1" applyFont="1" applyFill="1" applyBorder="1" applyAlignment="1">
      <alignment horizontal="right"/>
    </xf>
    <xf numFmtId="164" fontId="10" fillId="0" borderId="0" xfId="0" applyNumberFormat="1" applyFont="1" applyFill="1" applyAlignment="1">
      <alignment horizontal="right"/>
    </xf>
    <xf numFmtId="0" fontId="0" fillId="8" borderId="0" xfId="0" applyFill="1" applyAlignment="1">
      <alignment horizontal="right" vertical="top" wrapText="1"/>
    </xf>
    <xf numFmtId="165" fontId="0" fillId="0" borderId="0" xfId="0" applyNumberFormat="1"/>
    <xf numFmtId="0" fontId="81" fillId="0" borderId="0" xfId="0" applyFont="1"/>
    <xf numFmtId="1" fontId="0" fillId="0" borderId="19" xfId="0" applyNumberFormat="1" applyBorder="1"/>
    <xf numFmtId="0" fontId="79" fillId="0" borderId="20" xfId="0" applyFont="1" applyBorder="1"/>
    <xf numFmtId="0" fontId="0" fillId="0" borderId="21" xfId="0" applyBorder="1"/>
    <xf numFmtId="0" fontId="0" fillId="0" borderId="21" xfId="0" applyBorder="1" applyAlignment="1">
      <alignment horizontal="right"/>
    </xf>
    <xf numFmtId="0" fontId="0" fillId="0" borderId="22" xfId="0" applyBorder="1" applyAlignment="1">
      <alignment horizontal="right"/>
    </xf>
    <xf numFmtId="0" fontId="0" fillId="0" borderId="23" xfId="0" applyBorder="1"/>
    <xf numFmtId="0" fontId="0" fillId="0" borderId="24" xfId="0" applyBorder="1" applyAlignment="1">
      <alignment horizontal="right"/>
    </xf>
    <xf numFmtId="1" fontId="0" fillId="0" borderId="24" xfId="0" applyNumberFormat="1" applyBorder="1"/>
    <xf numFmtId="1" fontId="0" fillId="0" borderId="25" xfId="0" applyNumberFormat="1" applyBorder="1"/>
    <xf numFmtId="9" fontId="0" fillId="0" borderId="24" xfId="2" applyFont="1" applyBorder="1"/>
    <xf numFmtId="0" fontId="0" fillId="0" borderId="24" xfId="0" applyBorder="1"/>
    <xf numFmtId="9" fontId="0" fillId="0" borderId="0" xfId="2" applyNumberFormat="1" applyFont="1" applyBorder="1"/>
    <xf numFmtId="9" fontId="0" fillId="0" borderId="24" xfId="2" applyNumberFormat="1" applyFont="1" applyBorder="1"/>
    <xf numFmtId="0" fontId="0" fillId="0" borderId="26" xfId="0" applyBorder="1"/>
    <xf numFmtId="0" fontId="0" fillId="0" borderId="27" xfId="0" applyBorder="1"/>
    <xf numFmtId="0" fontId="0" fillId="0" borderId="28" xfId="0" applyBorder="1"/>
    <xf numFmtId="0" fontId="2" fillId="0" borderId="8" xfId="0" applyFont="1" applyFill="1" applyBorder="1"/>
    <xf numFmtId="0" fontId="0" fillId="0" borderId="0" xfId="0" applyFill="1"/>
    <xf numFmtId="0" fontId="25" fillId="0" borderId="0" xfId="0" applyFont="1" applyFill="1" applyBorder="1"/>
    <xf numFmtId="0" fontId="9" fillId="0" borderId="0" xfId="0" applyFont="1" applyFill="1" applyBorder="1"/>
    <xf numFmtId="186" fontId="0" fillId="0" borderId="0" xfId="0" applyNumberFormat="1"/>
    <xf numFmtId="1" fontId="0" fillId="0" borderId="9" xfId="0" applyNumberFormat="1" applyBorder="1"/>
    <xf numFmtId="1" fontId="40" fillId="20" borderId="0" xfId="0" applyNumberFormat="1" applyFont="1" applyFill="1"/>
    <xf numFmtId="1" fontId="40" fillId="21" borderId="0" xfId="0" applyNumberFormat="1" applyFont="1" applyFill="1"/>
    <xf numFmtId="1" fontId="40" fillId="9" borderId="0" xfId="0" applyNumberFormat="1" applyFont="1" applyFill="1"/>
    <xf numFmtId="1" fontId="40" fillId="17" borderId="0" xfId="0" applyNumberFormat="1" applyFont="1" applyFill="1"/>
    <xf numFmtId="1" fontId="40" fillId="10" borderId="0" xfId="0" applyNumberFormat="1" applyFont="1" applyFill="1"/>
    <xf numFmtId="164" fontId="0" fillId="0" borderId="0" xfId="0" applyNumberFormat="1" applyBorder="1"/>
    <xf numFmtId="0" fontId="0" fillId="0" borderId="16" xfId="0" applyBorder="1"/>
    <xf numFmtId="191" fontId="10" fillId="0" borderId="0" xfId="0" applyNumberFormat="1" applyFont="1" applyFill="1" applyBorder="1" applyAlignment="1">
      <alignment horizontal="center"/>
    </xf>
    <xf numFmtId="0" fontId="44" fillId="0" borderId="0" xfId="0" applyFont="1" applyFill="1"/>
    <xf numFmtId="9" fontId="10" fillId="2" borderId="0" xfId="2" applyFont="1" applyFill="1"/>
    <xf numFmtId="0" fontId="82" fillId="0" borderId="0" xfId="0" applyFont="1" applyAlignment="1">
      <alignment horizontal="center"/>
    </xf>
    <xf numFmtId="195" fontId="0" fillId="0" borderId="0" xfId="0" applyNumberFormat="1"/>
    <xf numFmtId="169" fontId="0" fillId="0" borderId="9" xfId="0" applyNumberFormat="1" applyBorder="1"/>
    <xf numFmtId="0" fontId="84" fillId="0" borderId="0" xfId="0" applyFont="1"/>
    <xf numFmtId="17" fontId="0" fillId="0" borderId="0" xfId="0" applyNumberFormat="1"/>
    <xf numFmtId="186" fontId="0" fillId="0" borderId="9" xfId="0" applyNumberFormat="1" applyBorder="1"/>
    <xf numFmtId="0" fontId="85" fillId="0" borderId="17" xfId="0" applyFont="1" applyBorder="1" applyAlignment="1">
      <alignment vertical="center"/>
    </xf>
    <xf numFmtId="9" fontId="10" fillId="10" borderId="0" xfId="2" applyFont="1" applyFill="1" applyAlignment="1">
      <alignment horizontal="center"/>
    </xf>
    <xf numFmtId="164" fontId="24" fillId="0" borderId="0" xfId="0" applyNumberFormat="1" applyFont="1" applyFill="1" applyBorder="1" applyAlignment="1">
      <alignment horizontal="right"/>
    </xf>
    <xf numFmtId="0" fontId="78" fillId="0" borderId="0" xfId="0" applyFont="1"/>
    <xf numFmtId="164" fontId="1" fillId="0" borderId="0" xfId="0" applyNumberFormat="1" applyFont="1" applyFill="1" applyAlignment="1">
      <alignment horizontal="right"/>
    </xf>
    <xf numFmtId="2" fontId="78" fillId="0" borderId="0" xfId="0" applyNumberFormat="1" applyFont="1"/>
    <xf numFmtId="1" fontId="78" fillId="0" borderId="0" xfId="0" applyNumberFormat="1" applyFont="1"/>
    <xf numFmtId="0" fontId="78" fillId="0" borderId="0" xfId="0" applyFont="1" applyFill="1"/>
    <xf numFmtId="164" fontId="78" fillId="0" borderId="0" xfId="0" applyNumberFormat="1" applyFont="1"/>
    <xf numFmtId="1" fontId="78" fillId="0" borderId="0" xfId="0" applyNumberFormat="1" applyFont="1" applyBorder="1"/>
    <xf numFmtId="0" fontId="78" fillId="0" borderId="0" xfId="0" applyFont="1" applyBorder="1"/>
    <xf numFmtId="164" fontId="77" fillId="0" borderId="0" xfId="0" applyNumberFormat="1" applyFont="1" applyFill="1" applyBorder="1" applyAlignment="1">
      <alignment horizontal="right"/>
    </xf>
    <xf numFmtId="187" fontId="1" fillId="0" borderId="0" xfId="0" applyNumberFormat="1" applyFont="1" applyFill="1" applyBorder="1" applyAlignment="1">
      <alignment horizontal="right"/>
    </xf>
    <xf numFmtId="0" fontId="1" fillId="0" borderId="0" xfId="0" applyFont="1" applyFill="1" applyBorder="1" applyAlignment="1">
      <alignment horizontal="right"/>
    </xf>
    <xf numFmtId="176" fontId="77" fillId="0" borderId="0" xfId="0" applyNumberFormat="1" applyFont="1" applyFill="1" applyBorder="1" applyAlignment="1">
      <alignment horizontal="right"/>
    </xf>
    <xf numFmtId="169" fontId="77" fillId="0" borderId="0" xfId="0" applyNumberFormat="1" applyFont="1" applyFill="1" applyBorder="1" applyAlignment="1">
      <alignment horizontal="center"/>
    </xf>
    <xf numFmtId="169" fontId="77" fillId="0" borderId="0" xfId="0" applyNumberFormat="1" applyFont="1" applyFill="1" applyBorder="1" applyAlignment="1">
      <alignment horizontal="right"/>
    </xf>
    <xf numFmtId="169" fontId="77" fillId="15" borderId="0" xfId="0" applyNumberFormat="1" applyFont="1" applyFill="1" applyBorder="1" applyAlignment="1">
      <alignment horizontal="right"/>
    </xf>
    <xf numFmtId="0" fontId="1" fillId="0" borderId="0" xfId="0" applyFont="1" applyFill="1" applyBorder="1"/>
    <xf numFmtId="169" fontId="77" fillId="0" borderId="9" xfId="0" applyNumberFormat="1" applyFont="1" applyFill="1" applyBorder="1" applyAlignment="1">
      <alignment horizontal="right"/>
    </xf>
    <xf numFmtId="194" fontId="1" fillId="0" borderId="0" xfId="0" applyNumberFormat="1" applyFont="1" applyFill="1" applyBorder="1" applyAlignment="1">
      <alignment horizontal="right"/>
    </xf>
    <xf numFmtId="187" fontId="1" fillId="0" borderId="0" xfId="0" applyNumberFormat="1" applyFont="1" applyFill="1" applyAlignment="1">
      <alignment horizontal="right"/>
    </xf>
    <xf numFmtId="9" fontId="10" fillId="0" borderId="0" xfId="0" applyNumberFormat="1" applyFont="1" applyFill="1" applyBorder="1"/>
    <xf numFmtId="168" fontId="1" fillId="0" borderId="0" xfId="0" applyNumberFormat="1" applyFont="1" applyFill="1" applyBorder="1" applyAlignment="1">
      <alignment horizontal="right"/>
    </xf>
    <xf numFmtId="0" fontId="17" fillId="0" borderId="0" xfId="0" applyFont="1" applyFill="1" applyBorder="1" applyAlignment="1">
      <alignment horizontal="left"/>
    </xf>
    <xf numFmtId="176" fontId="10"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3" fontId="17" fillId="0" borderId="0" xfId="0" applyNumberFormat="1" applyFont="1" applyFill="1" applyBorder="1" applyAlignment="1">
      <alignment horizontal="right"/>
    </xf>
    <xf numFmtId="0" fontId="0" fillId="0" borderId="0" xfId="0" applyFill="1" applyBorder="1"/>
    <xf numFmtId="0" fontId="30" fillId="0" borderId="0" xfId="0" applyFont="1" applyFill="1" applyBorder="1"/>
    <xf numFmtId="0" fontId="18" fillId="0" borderId="0" xfId="0" applyFont="1" applyFill="1" applyBorder="1"/>
    <xf numFmtId="176" fontId="17" fillId="0" borderId="0" xfId="0" applyNumberFormat="1" applyFont="1" applyFill="1" applyBorder="1" applyAlignment="1">
      <alignment horizontal="center"/>
    </xf>
    <xf numFmtId="175" fontId="17" fillId="0" borderId="0" xfId="0" applyNumberFormat="1" applyFont="1" applyFill="1" applyBorder="1" applyAlignment="1">
      <alignment horizontal="center"/>
    </xf>
    <xf numFmtId="169" fontId="53" fillId="0" borderId="0" xfId="0" applyNumberFormat="1" applyFont="1" applyFill="1" applyBorder="1" applyAlignment="1">
      <alignment horizontal="left"/>
    </xf>
    <xf numFmtId="0" fontId="53" fillId="0" borderId="0" xfId="0" applyFont="1" applyFill="1" applyBorder="1" applyAlignment="1"/>
    <xf numFmtId="168" fontId="72" fillId="0" borderId="0" xfId="2" applyNumberFormat="1" applyFont="1" applyFill="1" applyBorder="1" applyAlignment="1">
      <alignment horizontal="center" shrinkToFit="1"/>
    </xf>
    <xf numFmtId="169" fontId="67" fillId="0" borderId="0" xfId="0" applyNumberFormat="1" applyFont="1" applyFill="1" applyBorder="1" applyAlignment="1">
      <alignment horizontal="center"/>
    </xf>
    <xf numFmtId="0" fontId="53" fillId="0" borderId="0" xfId="0" applyFont="1" applyFill="1" applyBorder="1" applyAlignment="1">
      <alignment horizontal="left"/>
    </xf>
    <xf numFmtId="168" fontId="53" fillId="0" borderId="0" xfId="2" applyNumberFormat="1" applyFont="1" applyFill="1" applyBorder="1" applyAlignment="1" applyProtection="1">
      <alignment horizontal="center"/>
    </xf>
    <xf numFmtId="169" fontId="53" fillId="0" borderId="0" xfId="0" applyNumberFormat="1" applyFont="1" applyFill="1" applyBorder="1" applyAlignment="1">
      <alignment horizontal="center"/>
    </xf>
    <xf numFmtId="168" fontId="67" fillId="0" borderId="0" xfId="2" applyNumberFormat="1" applyFont="1" applyFill="1" applyBorder="1" applyAlignment="1">
      <alignment horizontal="center"/>
    </xf>
    <xf numFmtId="2" fontId="10" fillId="0" borderId="0" xfId="0" applyNumberFormat="1" applyFont="1" applyFill="1" applyBorder="1"/>
    <xf numFmtId="173" fontId="17" fillId="0" borderId="0" xfId="0" applyNumberFormat="1" applyFont="1" applyFill="1" applyBorder="1" applyAlignment="1">
      <alignment horizontal="center"/>
    </xf>
    <xf numFmtId="0" fontId="82" fillId="0" borderId="0" xfId="0" applyFont="1" applyFill="1" applyBorder="1" applyAlignment="1">
      <alignment horizontal="center"/>
    </xf>
    <xf numFmtId="194" fontId="17" fillId="0" borderId="0" xfId="2" applyNumberFormat="1" applyFont="1" applyFill="1" applyBorder="1" applyAlignment="1">
      <alignment horizontal="center"/>
    </xf>
    <xf numFmtId="0" fontId="79" fillId="0" borderId="0" xfId="0" applyFont="1" applyFill="1" applyBorder="1"/>
    <xf numFmtId="0" fontId="0" fillId="0" borderId="0" xfId="0" applyFill="1" applyBorder="1" applyAlignment="1">
      <alignment horizontal="right" vertical="top" wrapText="1"/>
    </xf>
    <xf numFmtId="0" fontId="78" fillId="0" borderId="0" xfId="0" applyFont="1" applyFill="1" applyBorder="1"/>
    <xf numFmtId="165" fontId="78" fillId="0" borderId="0" xfId="0" applyNumberFormat="1" applyFont="1"/>
    <xf numFmtId="0" fontId="87" fillId="0" borderId="17" xfId="0" applyFont="1" applyBorder="1" applyAlignment="1">
      <alignment vertical="center" wrapText="1"/>
    </xf>
    <xf numFmtId="0" fontId="87" fillId="0" borderId="29" xfId="0" applyFont="1" applyBorder="1" applyAlignment="1">
      <alignment horizontal="right" vertical="center" wrapText="1"/>
    </xf>
    <xf numFmtId="0" fontId="87" fillId="0" borderId="30" xfId="0" applyFont="1" applyBorder="1" applyAlignment="1">
      <alignment vertical="center" wrapText="1"/>
    </xf>
    <xf numFmtId="0" fontId="87" fillId="0" borderId="28" xfId="0" applyFont="1" applyBorder="1" applyAlignment="1">
      <alignment horizontal="right" vertical="center" wrapText="1"/>
    </xf>
    <xf numFmtId="169" fontId="87" fillId="0" borderId="28" xfId="0" applyNumberFormat="1" applyFont="1" applyBorder="1" applyAlignment="1">
      <alignment horizontal="right" vertical="center" wrapText="1"/>
    </xf>
    <xf numFmtId="0" fontId="78" fillId="18" borderId="0" xfId="0" applyFont="1" applyFill="1" applyAlignment="1">
      <alignment horizontal="center" vertical="center"/>
    </xf>
    <xf numFmtId="0" fontId="78" fillId="19" borderId="0" xfId="0" applyFont="1" applyFill="1" applyAlignment="1">
      <alignment horizontal="center" vertical="center"/>
    </xf>
    <xf numFmtId="0" fontId="88" fillId="0" borderId="0" xfId="0" applyFont="1"/>
    <xf numFmtId="1" fontId="27" fillId="22" borderId="17" xfId="0" applyNumberFormat="1" applyFont="1" applyFill="1" applyBorder="1" applyAlignment="1">
      <alignment horizontal="right"/>
    </xf>
    <xf numFmtId="169" fontId="40" fillId="0" borderId="0" xfId="0" applyNumberFormat="1" applyFont="1" applyFill="1"/>
    <xf numFmtId="0" fontId="0" fillId="0" borderId="0" xfId="0" applyFont="1" applyBorder="1"/>
    <xf numFmtId="9" fontId="0" fillId="0" borderId="0" xfId="0" applyNumberFormat="1" applyFont="1" applyBorder="1"/>
    <xf numFmtId="9" fontId="48" fillId="0" borderId="0" xfId="2" applyFont="1" applyBorder="1"/>
    <xf numFmtId="169" fontId="0" fillId="0" borderId="0" xfId="0" applyNumberFormat="1" applyBorder="1"/>
    <xf numFmtId="190" fontId="10" fillId="0" borderId="0" xfId="0" applyNumberFormat="1" applyFont="1" applyBorder="1"/>
    <xf numFmtId="173" fontId="10" fillId="0" borderId="0" xfId="0" applyNumberFormat="1" applyFont="1" applyBorder="1"/>
    <xf numFmtId="0" fontId="40" fillId="0" borderId="0" xfId="0" applyFont="1" applyFill="1" applyBorder="1"/>
    <xf numFmtId="0" fontId="0" fillId="0" borderId="0" xfId="0" applyFill="1" applyAlignment="1">
      <alignment horizontal="right" vertical="top" wrapText="1"/>
    </xf>
    <xf numFmtId="0" fontId="0" fillId="0" borderId="0" xfId="0" applyFill="1" applyAlignment="1">
      <alignment horizontal="right"/>
    </xf>
    <xf numFmtId="169" fontId="0" fillId="0" borderId="0" xfId="0" applyNumberFormat="1" applyFill="1" applyAlignment="1">
      <alignment horizontal="right"/>
    </xf>
    <xf numFmtId="0" fontId="0" fillId="0" borderId="0" xfId="0" applyFill="1" applyBorder="1" applyAlignment="1">
      <alignment horizontal="right"/>
    </xf>
    <xf numFmtId="0" fontId="44" fillId="23" borderId="0" xfId="0" applyFont="1" applyFill="1"/>
    <xf numFmtId="0" fontId="0" fillId="23" borderId="0" xfId="0" applyFill="1"/>
    <xf numFmtId="0" fontId="0" fillId="23" borderId="0" xfId="0" applyFill="1" applyAlignment="1">
      <alignment horizontal="right"/>
    </xf>
    <xf numFmtId="1" fontId="0" fillId="23" borderId="0" xfId="0" applyNumberFormat="1" applyFill="1"/>
    <xf numFmtId="9" fontId="0" fillId="23" borderId="0" xfId="2" applyFont="1" applyFill="1"/>
    <xf numFmtId="0" fontId="0" fillId="23" borderId="0" xfId="0" applyFill="1" applyAlignment="1">
      <alignment horizontal="right" wrapText="1"/>
    </xf>
    <xf numFmtId="0" fontId="89" fillId="23" borderId="0" xfId="0" applyFont="1" applyFill="1"/>
    <xf numFmtId="0" fontId="71" fillId="23" borderId="0" xfId="0" applyFont="1" applyFill="1"/>
    <xf numFmtId="0" fontId="51" fillId="23" borderId="0" xfId="0" applyFont="1" applyFill="1" applyAlignment="1"/>
    <xf numFmtId="0" fontId="0" fillId="23" borderId="0" xfId="0" applyFill="1" applyAlignment="1"/>
    <xf numFmtId="187" fontId="51" fillId="23" borderId="0" xfId="0" applyNumberFormat="1" applyFont="1" applyFill="1" applyAlignment="1"/>
    <xf numFmtId="9" fontId="0" fillId="23" borderId="0" xfId="0" applyNumberFormat="1" applyFill="1"/>
    <xf numFmtId="187" fontId="0" fillId="23" borderId="0" xfId="0" applyNumberFormat="1" applyFill="1"/>
    <xf numFmtId="187" fontId="0" fillId="23" borderId="16" xfId="0" applyNumberFormat="1" applyFill="1" applyBorder="1"/>
    <xf numFmtId="187" fontId="0" fillId="23" borderId="0" xfId="0" applyNumberFormat="1" applyFill="1" applyBorder="1"/>
    <xf numFmtId="164" fontId="0" fillId="23" borderId="0" xfId="0" applyNumberFormat="1" applyFill="1" applyBorder="1"/>
    <xf numFmtId="0" fontId="40" fillId="0" borderId="0" xfId="0" applyFont="1" applyAlignment="1">
      <alignment horizontal="right" wrapText="1"/>
    </xf>
    <xf numFmtId="169" fontId="0" fillId="23" borderId="0" xfId="0" applyNumberFormat="1" applyFill="1"/>
    <xf numFmtId="0" fontId="83" fillId="23" borderId="0" xfId="0" applyFont="1" applyFill="1" applyAlignment="1">
      <alignment horizontal="right"/>
    </xf>
    <xf numFmtId="0" fontId="0" fillId="23" borderId="9" xfId="0" applyFill="1" applyBorder="1"/>
    <xf numFmtId="10" fontId="0" fillId="23" borderId="0" xfId="0" applyNumberFormat="1" applyFill="1"/>
    <xf numFmtId="0" fontId="86" fillId="23" borderId="0" xfId="0" applyFont="1" applyFill="1" applyAlignment="1">
      <alignment horizontal="right" wrapText="1"/>
    </xf>
    <xf numFmtId="9" fontId="0" fillId="23" borderId="9" xfId="0" applyNumberFormat="1" applyFill="1" applyBorder="1"/>
    <xf numFmtId="9" fontId="0" fillId="23" borderId="9" xfId="2" applyFont="1" applyFill="1" applyBorder="1"/>
    <xf numFmtId="0" fontId="88" fillId="23" borderId="0" xfId="0" applyFont="1" applyFill="1"/>
    <xf numFmtId="164" fontId="0" fillId="0" borderId="0" xfId="0" quotePrefix="1" applyNumberFormat="1" applyAlignment="1">
      <alignment horizontal="right"/>
    </xf>
    <xf numFmtId="0" fontId="44" fillId="8" borderId="0" xfId="0" applyFont="1" applyFill="1"/>
    <xf numFmtId="0" fontId="0" fillId="8" borderId="0" xfId="0" applyFill="1" applyAlignment="1">
      <alignment horizontal="right"/>
    </xf>
    <xf numFmtId="0" fontId="0" fillId="8" borderId="0" xfId="0" applyFill="1"/>
    <xf numFmtId="1" fontId="0" fillId="8" borderId="0" xfId="0" applyNumberFormat="1" applyFill="1"/>
    <xf numFmtId="164" fontId="0" fillId="8" borderId="0" xfId="0" applyNumberFormat="1" applyFill="1" applyBorder="1"/>
    <xf numFmtId="1" fontId="0" fillId="8" borderId="9" xfId="0" applyNumberFormat="1" applyFill="1" applyBorder="1"/>
    <xf numFmtId="9" fontId="0" fillId="8" borderId="0" xfId="0" applyNumberFormat="1" applyFill="1"/>
    <xf numFmtId="9" fontId="0" fillId="8" borderId="0" xfId="2" applyFont="1" applyFill="1"/>
    <xf numFmtId="9" fontId="0" fillId="8" borderId="19" xfId="0" applyNumberFormat="1" applyFill="1" applyBorder="1"/>
    <xf numFmtId="0" fontId="0" fillId="8" borderId="0" xfId="0" applyFill="1" applyAlignment="1">
      <alignment horizontal="right" wrapText="1"/>
    </xf>
    <xf numFmtId="0" fontId="0" fillId="8" borderId="16" xfId="0" applyFill="1" applyBorder="1"/>
    <xf numFmtId="167" fontId="0" fillId="8" borderId="0" xfId="1" applyNumberFormat="1" applyFont="1" applyFill="1"/>
    <xf numFmtId="0" fontId="49" fillId="5" borderId="11" xfId="0" applyFont="1" applyFill="1" applyBorder="1" applyAlignment="1">
      <alignment horizontal="right"/>
    </xf>
    <xf numFmtId="0" fontId="49" fillId="2" borderId="7" xfId="0" applyFont="1" applyFill="1" applyBorder="1" applyAlignment="1">
      <alignment horizontal="right"/>
    </xf>
    <xf numFmtId="0" fontId="49" fillId="5" borderId="10" xfId="0" applyFont="1" applyFill="1" applyBorder="1" applyAlignment="1">
      <alignment horizontal="right"/>
    </xf>
    <xf numFmtId="0" fontId="49" fillId="2" borderId="7" xfId="0" applyFont="1" applyFill="1" applyBorder="1" applyAlignment="1"/>
    <xf numFmtId="0" fontId="90" fillId="0" borderId="0" xfId="0" applyFont="1"/>
    <xf numFmtId="0" fontId="78" fillId="0" borderId="0" xfId="0" applyFont="1" applyAlignment="1">
      <alignment wrapText="1"/>
    </xf>
    <xf numFmtId="0" fontId="0" fillId="0" borderId="0" xfId="0" applyAlignment="1">
      <alignment wrapText="1"/>
    </xf>
    <xf numFmtId="168" fontId="10" fillId="3" borderId="8" xfId="0" applyNumberFormat="1" applyFont="1" applyFill="1" applyBorder="1" applyAlignment="1" applyProtection="1">
      <alignment horizontal="left"/>
      <protection locked="0"/>
    </xf>
    <xf numFmtId="0" fontId="0" fillId="0" borderId="9" xfId="0" applyFont="1" applyBorder="1" applyAlignment="1" applyProtection="1">
      <protection locked="0"/>
    </xf>
    <xf numFmtId="0" fontId="0" fillId="0" borderId="7" xfId="0" applyFont="1" applyBorder="1" applyAlignment="1" applyProtection="1">
      <protection locked="0"/>
    </xf>
    <xf numFmtId="14" fontId="10" fillId="3" borderId="8" xfId="0" applyNumberFormat="1" applyFont="1" applyFill="1" applyBorder="1" applyAlignment="1" applyProtection="1">
      <alignment horizontal="left"/>
      <protection locked="0"/>
    </xf>
    <xf numFmtId="14" fontId="10" fillId="3" borderId="9" xfId="0" applyNumberFormat="1" applyFont="1" applyFill="1" applyBorder="1" applyAlignment="1" applyProtection="1">
      <alignment horizontal="left"/>
      <protection locked="0"/>
    </xf>
    <xf numFmtId="14" fontId="10" fillId="3" borderId="7" xfId="0" applyNumberFormat="1" applyFont="1" applyFill="1" applyBorder="1" applyAlignment="1" applyProtection="1">
      <alignment horizontal="left"/>
      <protection locked="0"/>
    </xf>
    <xf numFmtId="0" fontId="10" fillId="3" borderId="8" xfId="0" applyNumberFormat="1" applyFont="1" applyFill="1" applyBorder="1" applyAlignment="1" applyProtection="1">
      <alignment horizontal="left"/>
      <protection locked="0"/>
    </xf>
    <xf numFmtId="0" fontId="10" fillId="3" borderId="9" xfId="0" applyNumberFormat="1" applyFont="1" applyFill="1" applyBorder="1" applyAlignment="1" applyProtection="1">
      <alignment horizontal="left"/>
      <protection locked="0"/>
    </xf>
    <xf numFmtId="0" fontId="10" fillId="3" borderId="7" xfId="0" applyNumberFormat="1" applyFont="1" applyFill="1" applyBorder="1" applyAlignment="1" applyProtection="1">
      <alignment horizontal="left"/>
      <protection locked="0"/>
    </xf>
    <xf numFmtId="0" fontId="20" fillId="9" borderId="0" xfId="0" applyFont="1" applyFill="1" applyBorder="1" applyAlignment="1">
      <alignment shrinkToFit="1"/>
    </xf>
    <xf numFmtId="0" fontId="37" fillId="0" borderId="0" xfId="0" applyFont="1" applyAlignment="1">
      <alignment shrinkToFit="1"/>
    </xf>
    <xf numFmtId="0" fontId="53" fillId="3" borderId="8" xfId="0" applyFont="1" applyFill="1" applyBorder="1" applyAlignment="1" applyProtection="1">
      <alignment horizontal="left"/>
      <protection locked="0"/>
    </xf>
    <xf numFmtId="0" fontId="53" fillId="3" borderId="9" xfId="0" applyFont="1" applyFill="1" applyBorder="1" applyAlignment="1" applyProtection="1">
      <alignment horizontal="left"/>
      <protection locked="0"/>
    </xf>
    <xf numFmtId="0" fontId="53" fillId="3" borderId="7" xfId="0" applyFont="1" applyFill="1" applyBorder="1" applyAlignment="1" applyProtection="1">
      <alignment horizontal="left"/>
      <protection locked="0"/>
    </xf>
    <xf numFmtId="0" fontId="59" fillId="0" borderId="9" xfId="0" applyFont="1" applyBorder="1" applyAlignment="1" applyProtection="1">
      <alignment horizontal="left"/>
      <protection locked="0"/>
    </xf>
    <xf numFmtId="0" fontId="59" fillId="0" borderId="7" xfId="0" applyFont="1" applyBorder="1" applyAlignment="1" applyProtection="1">
      <alignment horizontal="left"/>
      <protection locked="0"/>
    </xf>
    <xf numFmtId="0" fontId="30" fillId="9" borderId="0" xfId="0" applyFont="1" applyFill="1" applyBorder="1" applyAlignment="1">
      <alignment shrinkToFit="1"/>
    </xf>
    <xf numFmtId="0" fontId="0" fillId="0" borderId="0" xfId="0" applyAlignment="1">
      <alignment shrinkToFit="1"/>
    </xf>
  </cellXfs>
  <cellStyles count="7">
    <cellStyle name="Comma" xfId="1" builtinId="3"/>
    <cellStyle name="Followed Hyperlink" xfId="4" builtinId="9" hidden="1"/>
    <cellStyle name="Followed Hyperlink" xfId="6" builtinId="9" hidden="1"/>
    <cellStyle name="Hyperlink" xfId="3" builtinId="8" hidden="1"/>
    <cellStyle name="Hyperlink" xfId="5" builtinId="8" hidden="1"/>
    <cellStyle name="Normal" xfId="0" builtinId="0"/>
    <cellStyle name="Percent" xfId="2" builtinId="5"/>
  </cellStyles>
  <dxfs count="1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8" tint="0.59996337778862885"/>
        </patternFill>
      </fill>
    </dxf>
    <dxf>
      <fill>
        <patternFill>
          <bgColor theme="6" tint="0.59996337778862885"/>
        </patternFill>
      </fill>
    </dxf>
    <dxf>
      <fill>
        <patternFill>
          <bgColor theme="9" tint="0.39994506668294322"/>
        </patternFill>
      </fill>
    </dxf>
  </dxfs>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Residual</a:t>
            </a:r>
            <a:r>
              <a:rPr lang="en-GB" b="1" baseline="0"/>
              <a:t> values in £ per acre</a:t>
            </a:r>
          </a:p>
          <a:p>
            <a:pPr>
              <a:defRPr/>
            </a:pP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48263452883017"/>
          <c:y val="0.10958463334060746"/>
          <c:w val="0.80448182074384622"/>
          <c:h val="0.55145075526815612"/>
        </c:manualLayout>
      </c:layout>
      <c:barChart>
        <c:barDir val="col"/>
        <c:grouping val="clustered"/>
        <c:varyColors val="0"/>
        <c:ser>
          <c:idx val="0"/>
          <c:order val="0"/>
          <c:tx>
            <c:strRef>
              <c:f>Tables!$I$58</c:f>
              <c:strCache>
                <c:ptCount val="1"/>
                <c:pt idx="0">
                  <c:v>Hyas residual value with deferred land purchase</c:v>
                </c:pt>
              </c:strCache>
            </c:strRef>
          </c:tx>
          <c:spPr>
            <a:solidFill>
              <a:schemeClr val="accent1"/>
            </a:solidFill>
            <a:ln>
              <a:noFill/>
            </a:ln>
            <a:effectLst/>
          </c:spPr>
          <c:invertIfNegative val="0"/>
          <c:cat>
            <c:strRef>
              <c:f>Tables!$N$57:$P$57</c:f>
              <c:strCache>
                <c:ptCount val="3"/>
                <c:pt idx="0">
                  <c:v>WOB</c:v>
                </c:pt>
                <c:pt idx="1">
                  <c:v>CBB</c:v>
                </c:pt>
                <c:pt idx="2">
                  <c:v>TCB</c:v>
                </c:pt>
              </c:strCache>
            </c:strRef>
          </c:cat>
          <c:val>
            <c:numRef>
              <c:f>Tables!$N$58:$P$58</c:f>
              <c:numCache>
                <c:formatCode>0</c:formatCode>
                <c:ptCount val="3"/>
                <c:pt idx="0">
                  <c:v>77946</c:v>
                </c:pt>
                <c:pt idx="1">
                  <c:v>58702</c:v>
                </c:pt>
                <c:pt idx="2">
                  <c:v>189411</c:v>
                </c:pt>
              </c:numCache>
            </c:numRef>
          </c:val>
          <c:extLst xmlns:c16r2="http://schemas.microsoft.com/office/drawing/2015/06/chart">
            <c:ext xmlns:c16="http://schemas.microsoft.com/office/drawing/2014/chart" uri="{C3380CC4-5D6E-409C-BE32-E72D297353CC}">
              <c16:uniqueId val="{00000000-4F01-204E-B36B-C9BEE0C7519F}"/>
            </c:ext>
          </c:extLst>
        </c:ser>
        <c:ser>
          <c:idx val="1"/>
          <c:order val="1"/>
          <c:tx>
            <c:strRef>
              <c:f>Tables!$I$59</c:f>
              <c:strCache>
                <c:ptCount val="1"/>
                <c:pt idx="0">
                  <c:v>Switch to NPV so current residuals are compared to current land prices</c:v>
                </c:pt>
              </c:strCache>
            </c:strRef>
          </c:tx>
          <c:spPr>
            <a:solidFill>
              <a:schemeClr val="accent2"/>
            </a:solidFill>
            <a:ln>
              <a:noFill/>
            </a:ln>
            <a:effectLst/>
          </c:spPr>
          <c:invertIfNegative val="0"/>
          <c:cat>
            <c:strRef>
              <c:f>Tables!$N$57:$P$57</c:f>
              <c:strCache>
                <c:ptCount val="3"/>
                <c:pt idx="0">
                  <c:v>WOB</c:v>
                </c:pt>
                <c:pt idx="1">
                  <c:v>CBB</c:v>
                </c:pt>
                <c:pt idx="2">
                  <c:v>TCB</c:v>
                </c:pt>
              </c:strCache>
            </c:strRef>
          </c:cat>
          <c:val>
            <c:numRef>
              <c:f>Tables!$N$59:$P$59</c:f>
              <c:numCache>
                <c:formatCode>0</c:formatCode>
                <c:ptCount val="3"/>
                <c:pt idx="0">
                  <c:v>25930</c:v>
                </c:pt>
                <c:pt idx="1">
                  <c:v>9335.1390334189764</c:v>
                </c:pt>
                <c:pt idx="2">
                  <c:v>79608</c:v>
                </c:pt>
              </c:numCache>
            </c:numRef>
          </c:val>
          <c:extLst xmlns:c16r2="http://schemas.microsoft.com/office/drawing/2015/06/chart">
            <c:ext xmlns:c16="http://schemas.microsoft.com/office/drawing/2014/chart" uri="{C3380CC4-5D6E-409C-BE32-E72D297353CC}">
              <c16:uniqueId val="{00000001-4F01-204E-B36B-C9BEE0C7519F}"/>
            </c:ext>
          </c:extLst>
        </c:ser>
        <c:ser>
          <c:idx val="2"/>
          <c:order val="2"/>
          <c:tx>
            <c:strRef>
              <c:f>Tables!$I$60</c:f>
              <c:strCache>
                <c:ptCount val="1"/>
                <c:pt idx="0">
                  <c:v>Increase contingency to 40% on all infrastructure costs (cumulative adjustment)</c:v>
                </c:pt>
              </c:strCache>
            </c:strRef>
          </c:tx>
          <c:spPr>
            <a:solidFill>
              <a:schemeClr val="accent3"/>
            </a:solidFill>
            <a:ln>
              <a:noFill/>
            </a:ln>
            <a:effectLst/>
          </c:spPr>
          <c:invertIfNegative val="0"/>
          <c:cat>
            <c:strRef>
              <c:f>Tables!$N$57:$P$57</c:f>
              <c:strCache>
                <c:ptCount val="3"/>
                <c:pt idx="0">
                  <c:v>WOB</c:v>
                </c:pt>
                <c:pt idx="1">
                  <c:v>CBB</c:v>
                </c:pt>
                <c:pt idx="2">
                  <c:v>TCB</c:v>
                </c:pt>
              </c:strCache>
            </c:strRef>
          </c:cat>
          <c:val>
            <c:numRef>
              <c:f>Tables!$N$60:$P$60</c:f>
              <c:numCache>
                <c:formatCode>0</c:formatCode>
                <c:ptCount val="3"/>
                <c:pt idx="0">
                  <c:v>5063</c:v>
                </c:pt>
                <c:pt idx="1">
                  <c:v>-851</c:v>
                </c:pt>
                <c:pt idx="2">
                  <c:v>51210</c:v>
                </c:pt>
              </c:numCache>
            </c:numRef>
          </c:val>
          <c:extLst xmlns:c16r2="http://schemas.microsoft.com/office/drawing/2015/06/chart">
            <c:ext xmlns:c16="http://schemas.microsoft.com/office/drawing/2014/chart" uri="{C3380CC4-5D6E-409C-BE32-E72D297353CC}">
              <c16:uniqueId val="{00000002-4F01-204E-B36B-C9BEE0C7519F}"/>
            </c:ext>
          </c:extLst>
        </c:ser>
        <c:ser>
          <c:idx val="3"/>
          <c:order val="3"/>
          <c:tx>
            <c:strRef>
              <c:f>Tables!$I$61</c:f>
              <c:strCache>
                <c:ptCount val="1"/>
                <c:pt idx="0">
                  <c:v>Deduct grant shortfall (another cumulative adjustment)</c:v>
                </c:pt>
              </c:strCache>
            </c:strRef>
          </c:tx>
          <c:spPr>
            <a:solidFill>
              <a:schemeClr val="accent4"/>
            </a:solidFill>
            <a:ln>
              <a:noFill/>
            </a:ln>
            <a:effectLst/>
          </c:spPr>
          <c:invertIfNegative val="0"/>
          <c:cat>
            <c:strRef>
              <c:f>Tables!$N$57:$P$57</c:f>
              <c:strCache>
                <c:ptCount val="3"/>
                <c:pt idx="0">
                  <c:v>WOB</c:v>
                </c:pt>
                <c:pt idx="1">
                  <c:v>CBB</c:v>
                </c:pt>
                <c:pt idx="2">
                  <c:v>TCB</c:v>
                </c:pt>
              </c:strCache>
            </c:strRef>
          </c:cat>
          <c:val>
            <c:numRef>
              <c:f>Tables!$N$61:$P$61</c:f>
              <c:numCache>
                <c:formatCode>0</c:formatCode>
                <c:ptCount val="3"/>
                <c:pt idx="2">
                  <c:v>29572</c:v>
                </c:pt>
              </c:numCache>
            </c:numRef>
          </c:val>
          <c:extLst xmlns:c16r2="http://schemas.microsoft.com/office/drawing/2015/06/chart">
            <c:ext xmlns:c16="http://schemas.microsoft.com/office/drawing/2014/chart" uri="{C3380CC4-5D6E-409C-BE32-E72D297353CC}">
              <c16:uniqueId val="{00000003-4F01-204E-B36B-C9BEE0C7519F}"/>
            </c:ext>
          </c:extLst>
        </c:ser>
        <c:dLbls>
          <c:showLegendKey val="0"/>
          <c:showVal val="0"/>
          <c:showCatName val="0"/>
          <c:showSerName val="0"/>
          <c:showPercent val="0"/>
          <c:showBubbleSize val="0"/>
        </c:dLbls>
        <c:gapWidth val="219"/>
        <c:overlap val="-27"/>
        <c:axId val="599425168"/>
        <c:axId val="360485000"/>
      </c:barChart>
      <c:catAx>
        <c:axId val="59942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485000"/>
        <c:crosses val="autoZero"/>
        <c:auto val="1"/>
        <c:lblAlgn val="ctr"/>
        <c:lblOffset val="100"/>
        <c:noMultiLvlLbl val="0"/>
      </c:catAx>
      <c:valAx>
        <c:axId val="36048500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per acre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9425168"/>
        <c:crosses val="autoZero"/>
        <c:crossBetween val="between"/>
      </c:valAx>
      <c:spPr>
        <a:noFill/>
        <a:ln>
          <a:noFill/>
        </a:ln>
        <a:effectLst/>
      </c:spPr>
    </c:plotArea>
    <c:legend>
      <c:legendPos val="b"/>
      <c:layout>
        <c:manualLayout>
          <c:xMode val="edge"/>
          <c:yMode val="edge"/>
          <c:x val="0.10512575760275991"/>
          <c:y val="0.77484460269432698"/>
          <c:w val="0.77494145124951475"/>
          <c:h val="0.204611577933905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5</xdr:col>
      <xdr:colOff>165652</xdr:colOff>
      <xdr:row>227</xdr:row>
      <xdr:rowOff>27608</xdr:rowOff>
    </xdr:from>
    <xdr:to>
      <xdr:col>5</xdr:col>
      <xdr:colOff>294492</xdr:colOff>
      <xdr:row>229</xdr:row>
      <xdr:rowOff>138044</xdr:rowOff>
    </xdr:to>
    <xdr:cxnSp macro="">
      <xdr:nvCxnSpPr>
        <xdr:cNvPr id="10" name="Elbow Connector 9">
          <a:extLst>
            <a:ext uri="{FF2B5EF4-FFF2-40B4-BE49-F238E27FC236}">
              <a16:creationId xmlns:a16="http://schemas.microsoft.com/office/drawing/2014/main" xmlns="" id="{0E9690F6-E735-BA4C-8D0E-8DEC43602D87}"/>
            </a:ext>
          </a:extLst>
        </xdr:cNvPr>
        <xdr:cNvCxnSpPr/>
      </xdr:nvCxnSpPr>
      <xdr:spPr>
        <a:xfrm rot="16200000" flipH="1">
          <a:off x="5033985" y="37207319"/>
          <a:ext cx="441740" cy="128840"/>
        </a:xfrm>
        <a:prstGeom prst="bentConnector3">
          <a:avLst>
            <a:gd name="adj1" fmla="val 50000"/>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327622</xdr:colOff>
      <xdr:row>63</xdr:row>
      <xdr:rowOff>64052</xdr:rowOff>
    </xdr:from>
    <xdr:to>
      <xdr:col>15</xdr:col>
      <xdr:colOff>257680</xdr:colOff>
      <xdr:row>88</xdr:row>
      <xdr:rowOff>55217</xdr:rowOff>
    </xdr:to>
    <xdr:graphicFrame macro="">
      <xdr:nvGraphicFramePr>
        <xdr:cNvPr id="4" name="Chart 3">
          <a:extLst>
            <a:ext uri="{FF2B5EF4-FFF2-40B4-BE49-F238E27FC236}">
              <a16:creationId xmlns:a16="http://schemas.microsoft.com/office/drawing/2014/main" xmlns="" id="{CFF9D77F-3716-4844-B07C-072E05888B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0.14047</cdr:x>
      <cdr:y>0.63321</cdr:y>
    </cdr:from>
    <cdr:to>
      <cdr:x>0.97241</cdr:x>
      <cdr:y>0.63331</cdr:y>
    </cdr:to>
    <cdr:cxnSp macro="">
      <cdr:nvCxnSpPr>
        <cdr:cNvPr id="3" name="Straight Connector 2">
          <a:extLst xmlns:a="http://schemas.openxmlformats.org/drawingml/2006/main">
            <a:ext uri="{FF2B5EF4-FFF2-40B4-BE49-F238E27FC236}">
              <a16:creationId xmlns:a16="http://schemas.microsoft.com/office/drawing/2014/main" xmlns="" id="{A31B4C79-49BF-054C-ABC7-5D3C6CD17B39}"/>
            </a:ext>
          </a:extLst>
        </cdr:cNvPr>
        <cdr:cNvCxnSpPr/>
      </cdr:nvCxnSpPr>
      <cdr:spPr>
        <a:xfrm xmlns:a="http://schemas.openxmlformats.org/drawingml/2006/main">
          <a:off x="840778" y="2831548"/>
          <a:ext cx="4979501" cy="426"/>
        </a:xfrm>
        <a:prstGeom xmlns:a="http://schemas.openxmlformats.org/drawingml/2006/main" prst="line">
          <a:avLst/>
        </a:prstGeom>
        <a:ln xmlns:a="http://schemas.openxmlformats.org/drawingml/2006/main" w="19050">
          <a:solidFill>
            <a:srgbClr val="FF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0.14217</cdr:x>
      <cdr:y>0.38329</cdr:y>
    </cdr:from>
    <cdr:to>
      <cdr:x>0.9771</cdr:x>
      <cdr:y>0.38374</cdr:y>
    </cdr:to>
    <cdr:cxnSp macro="">
      <cdr:nvCxnSpPr>
        <cdr:cNvPr id="4" name="Straight Connector 3">
          <a:extLst xmlns:a="http://schemas.openxmlformats.org/drawingml/2006/main">
            <a:ext uri="{FF2B5EF4-FFF2-40B4-BE49-F238E27FC236}">
              <a16:creationId xmlns:a16="http://schemas.microsoft.com/office/drawing/2014/main" xmlns="" id="{F0D13615-70D6-5142-B1BC-E4890CEB5113}"/>
            </a:ext>
          </a:extLst>
        </cdr:cNvPr>
        <cdr:cNvCxnSpPr/>
      </cdr:nvCxnSpPr>
      <cdr:spPr>
        <a:xfrm xmlns:a="http://schemas.openxmlformats.org/drawingml/2006/main">
          <a:off x="850938" y="1713948"/>
          <a:ext cx="4997387" cy="2015"/>
        </a:xfrm>
        <a:prstGeom xmlns:a="http://schemas.openxmlformats.org/drawingml/2006/main" prst="line">
          <a:avLst/>
        </a:prstGeom>
        <a:ln xmlns:a="http://schemas.openxmlformats.org/drawingml/2006/main" w="19050">
          <a:solidFill>
            <a:srgbClr val="00B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0.10944</cdr:x>
      <cdr:y>0.33892</cdr:y>
    </cdr:from>
    <cdr:to>
      <cdr:x>0.47578</cdr:x>
      <cdr:y>0.42155</cdr:y>
    </cdr:to>
    <cdr:sp macro="" textlink="">
      <cdr:nvSpPr>
        <cdr:cNvPr id="5" name="TextBox 4">
          <a:extLst xmlns:a="http://schemas.openxmlformats.org/drawingml/2006/main">
            <a:ext uri="{FF2B5EF4-FFF2-40B4-BE49-F238E27FC236}">
              <a16:creationId xmlns:a16="http://schemas.microsoft.com/office/drawing/2014/main" xmlns="" id="{3B22C8BA-DCC3-004F-908F-DB4CC3CC1D25}"/>
            </a:ext>
          </a:extLst>
        </cdr:cNvPr>
        <cdr:cNvSpPr txBox="1"/>
      </cdr:nvSpPr>
      <cdr:spPr>
        <a:xfrm xmlns:a="http://schemas.openxmlformats.org/drawingml/2006/main">
          <a:off x="657087" y="1132324"/>
          <a:ext cx="2199494" cy="2760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0.27364</cdr:x>
      <cdr:y>0.51196</cdr:y>
    </cdr:from>
    <cdr:to>
      <cdr:x>0.44819</cdr:x>
      <cdr:y>0.59459</cdr:y>
    </cdr:to>
    <cdr:sp macro="" textlink="">
      <cdr:nvSpPr>
        <cdr:cNvPr id="6" name="TextBox 1">
          <a:extLst xmlns:a="http://schemas.openxmlformats.org/drawingml/2006/main">
            <a:ext uri="{FF2B5EF4-FFF2-40B4-BE49-F238E27FC236}">
              <a16:creationId xmlns:a16="http://schemas.microsoft.com/office/drawing/2014/main" xmlns="" id="{982A31C8-FE8D-4746-8175-8D8D49592EEB}"/>
            </a:ext>
          </a:extLst>
        </cdr:cNvPr>
        <cdr:cNvSpPr txBox="1"/>
      </cdr:nvSpPr>
      <cdr:spPr>
        <a:xfrm xmlns:a="http://schemas.openxmlformats.org/drawingml/2006/main">
          <a:off x="1642902" y="2313536"/>
          <a:ext cx="1048027" cy="3734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sz="1100"/>
        </a:p>
      </cdr:txBody>
    </cdr:sp>
  </cdr:relSizeAnchor>
  <cdr:relSizeAnchor xmlns:cdr="http://schemas.openxmlformats.org/drawingml/2006/chartDrawing">
    <cdr:from>
      <cdr:x>0.15235</cdr:x>
      <cdr:y>0.25832</cdr:y>
    </cdr:from>
    <cdr:to>
      <cdr:x>0.36454</cdr:x>
      <cdr:y>0.37647</cdr:y>
    </cdr:to>
    <cdr:sp macro="" textlink="">
      <cdr:nvSpPr>
        <cdr:cNvPr id="9" name="TextBox 8">
          <a:extLst xmlns:a="http://schemas.openxmlformats.org/drawingml/2006/main">
            <a:ext uri="{FF2B5EF4-FFF2-40B4-BE49-F238E27FC236}">
              <a16:creationId xmlns:a16="http://schemas.microsoft.com/office/drawing/2014/main" xmlns="" id="{311A2334-84FB-3044-9EA4-B5FDAC5B3F2E}"/>
            </a:ext>
          </a:extLst>
        </cdr:cNvPr>
        <cdr:cNvSpPr txBox="1"/>
      </cdr:nvSpPr>
      <cdr:spPr>
        <a:xfrm xmlns:a="http://schemas.openxmlformats.org/drawingml/2006/main">
          <a:off x="911898" y="1155148"/>
          <a:ext cx="1270000" cy="5283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0.1659</cdr:x>
      <cdr:y>0.33221</cdr:y>
    </cdr:from>
    <cdr:to>
      <cdr:x>0.59472</cdr:x>
      <cdr:y>0.37348</cdr:y>
    </cdr:to>
    <cdr:sp macro="" textlink="">
      <cdr:nvSpPr>
        <cdr:cNvPr id="2" name="TextBox 1">
          <a:extLst xmlns:a="http://schemas.openxmlformats.org/drawingml/2006/main">
            <a:ext uri="{FF2B5EF4-FFF2-40B4-BE49-F238E27FC236}">
              <a16:creationId xmlns:a16="http://schemas.microsoft.com/office/drawing/2014/main" xmlns="" id="{5E3FCFCB-FC5C-E54E-AC73-171D9467FD1A}"/>
            </a:ext>
          </a:extLst>
        </cdr:cNvPr>
        <cdr:cNvSpPr txBox="1"/>
      </cdr:nvSpPr>
      <cdr:spPr>
        <a:xfrm xmlns:a="http://schemas.openxmlformats.org/drawingml/2006/main">
          <a:off x="994857" y="1520823"/>
          <a:ext cx="2571488" cy="1889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£100,000 per acre</a:t>
          </a:r>
          <a:r>
            <a:rPr lang="en-GB" sz="1100" baseline="0"/>
            <a:t> benchmark land value</a:t>
          </a:r>
          <a:endParaRPr lang="en-GB" sz="11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6</xdr:col>
      <xdr:colOff>155539</xdr:colOff>
      <xdr:row>33</xdr:row>
      <xdr:rowOff>78275</xdr:rowOff>
    </xdr:from>
    <xdr:to>
      <xdr:col>12</xdr:col>
      <xdr:colOff>166761</xdr:colOff>
      <xdr:row>97</xdr:row>
      <xdr:rowOff>50698</xdr:rowOff>
    </xdr:to>
    <xdr:pic>
      <xdr:nvPicPr>
        <xdr:cNvPr id="2" name="Picture 1">
          <a:extLst>
            <a:ext uri="{FF2B5EF4-FFF2-40B4-BE49-F238E27FC236}">
              <a16:creationId xmlns:a16="http://schemas.microsoft.com/office/drawing/2014/main" xmlns="" id="{AB0DAECA-994D-4C42-A9E5-C8CFC2E40498}"/>
            </a:ext>
          </a:extLst>
        </xdr:cNvPr>
        <xdr:cNvPicPr>
          <a:picLocks noChangeAspect="1"/>
        </xdr:cNvPicPr>
      </xdr:nvPicPr>
      <xdr:blipFill>
        <a:blip xmlns:r="http://schemas.openxmlformats.org/officeDocument/2006/relationships" r:embed="rId1"/>
        <a:stretch>
          <a:fillRect/>
        </a:stretch>
      </xdr:blipFill>
      <xdr:spPr>
        <a:xfrm>
          <a:off x="5108539" y="4027975"/>
          <a:ext cx="4964222" cy="10538822"/>
        </a:xfrm>
        <a:prstGeom prst="rect">
          <a:avLst/>
        </a:prstGeom>
      </xdr:spPr>
    </xdr:pic>
    <xdr:clientData/>
  </xdr:twoCellAnchor>
  <xdr:twoCellAnchor editAs="oneCell">
    <xdr:from>
      <xdr:col>0</xdr:col>
      <xdr:colOff>38485</xdr:colOff>
      <xdr:row>26</xdr:row>
      <xdr:rowOff>64142</xdr:rowOff>
    </xdr:from>
    <xdr:to>
      <xdr:col>4</xdr:col>
      <xdr:colOff>503818</xdr:colOff>
      <xdr:row>98</xdr:row>
      <xdr:rowOff>91356</xdr:rowOff>
    </xdr:to>
    <xdr:pic>
      <xdr:nvPicPr>
        <xdr:cNvPr id="3" name="Picture 2">
          <a:extLst>
            <a:ext uri="{FF2B5EF4-FFF2-40B4-BE49-F238E27FC236}">
              <a16:creationId xmlns:a16="http://schemas.microsoft.com/office/drawing/2014/main" xmlns="" id="{59483311-149B-2047-A7CA-B0DA447290F3}"/>
            </a:ext>
          </a:extLst>
        </xdr:cNvPr>
        <xdr:cNvPicPr>
          <a:picLocks noChangeAspect="1"/>
        </xdr:cNvPicPr>
      </xdr:nvPicPr>
      <xdr:blipFill>
        <a:blip xmlns:r="http://schemas.openxmlformats.org/officeDocument/2006/relationships" r:embed="rId2"/>
        <a:stretch>
          <a:fillRect/>
        </a:stretch>
      </xdr:blipFill>
      <xdr:spPr>
        <a:xfrm>
          <a:off x="38485" y="4477071"/>
          <a:ext cx="4916747" cy="12034487"/>
        </a:xfrm>
        <a:prstGeom prst="rect">
          <a:avLst/>
        </a:prstGeom>
      </xdr:spPr>
    </xdr:pic>
    <xdr:clientData/>
  </xdr:twoCellAnchor>
  <xdr:twoCellAnchor editAs="oneCell">
    <xdr:from>
      <xdr:col>12</xdr:col>
      <xdr:colOff>626790</xdr:colOff>
      <xdr:row>32</xdr:row>
      <xdr:rowOff>50672</xdr:rowOff>
    </xdr:from>
    <xdr:to>
      <xdr:col>19</xdr:col>
      <xdr:colOff>59780</xdr:colOff>
      <xdr:row>73</xdr:row>
      <xdr:rowOff>63794</xdr:rowOff>
    </xdr:to>
    <xdr:pic>
      <xdr:nvPicPr>
        <xdr:cNvPr id="4" name="Picture 3">
          <a:extLst>
            <a:ext uri="{FF2B5EF4-FFF2-40B4-BE49-F238E27FC236}">
              <a16:creationId xmlns:a16="http://schemas.microsoft.com/office/drawing/2014/main" xmlns="" id="{86A504B2-54B1-F84C-A639-4DAB806EDB65}"/>
            </a:ext>
          </a:extLst>
        </xdr:cNvPr>
        <xdr:cNvPicPr>
          <a:picLocks noChangeAspect="1"/>
        </xdr:cNvPicPr>
      </xdr:nvPicPr>
      <xdr:blipFill>
        <a:blip xmlns:r="http://schemas.openxmlformats.org/officeDocument/2006/relationships" r:embed="rId3"/>
        <a:stretch>
          <a:fillRect/>
        </a:stretch>
      </xdr:blipFill>
      <xdr:spPr>
        <a:xfrm>
          <a:off x="11646285" y="5554005"/>
          <a:ext cx="5180061" cy="6850597"/>
        </a:xfrm>
        <a:prstGeom prst="rect">
          <a:avLst/>
        </a:prstGeom>
      </xdr:spPr>
    </xdr:pic>
    <xdr:clientData/>
  </xdr:twoCellAnchor>
  <xdr:twoCellAnchor editAs="oneCell">
    <xdr:from>
      <xdr:col>12</xdr:col>
      <xdr:colOff>737626</xdr:colOff>
      <xdr:row>74</xdr:row>
      <xdr:rowOff>120906</xdr:rowOff>
    </xdr:from>
    <xdr:to>
      <xdr:col>24</xdr:col>
      <xdr:colOff>490729</xdr:colOff>
      <xdr:row>123</xdr:row>
      <xdr:rowOff>11930</xdr:rowOff>
    </xdr:to>
    <xdr:pic>
      <xdr:nvPicPr>
        <xdr:cNvPr id="6" name="Picture 5">
          <a:extLst>
            <a:ext uri="{FF2B5EF4-FFF2-40B4-BE49-F238E27FC236}">
              <a16:creationId xmlns:a16="http://schemas.microsoft.com/office/drawing/2014/main" xmlns="" id="{06309B9F-6898-A846-9E81-9DAE28238442}"/>
            </a:ext>
          </a:extLst>
        </xdr:cNvPr>
        <xdr:cNvPicPr>
          <a:picLocks noChangeAspect="1"/>
        </xdr:cNvPicPr>
      </xdr:nvPicPr>
      <xdr:blipFill>
        <a:blip xmlns:r="http://schemas.openxmlformats.org/officeDocument/2006/relationships" r:embed="rId4"/>
        <a:stretch>
          <a:fillRect/>
        </a:stretch>
      </xdr:blipFill>
      <xdr:spPr>
        <a:xfrm>
          <a:off x="11757121" y="12628482"/>
          <a:ext cx="9605224" cy="81652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122498</xdr:colOff>
      <xdr:row>117</xdr:row>
      <xdr:rowOff>190519</xdr:rowOff>
    </xdr:from>
    <xdr:to>
      <xdr:col>2</xdr:col>
      <xdr:colOff>982126</xdr:colOff>
      <xdr:row>137</xdr:row>
      <xdr:rowOff>69545</xdr:rowOff>
    </xdr:to>
    <xdr:pic>
      <xdr:nvPicPr>
        <xdr:cNvPr id="4" name="Picture 3">
          <a:extLst>
            <a:ext uri="{FF2B5EF4-FFF2-40B4-BE49-F238E27FC236}">
              <a16:creationId xmlns:a16="http://schemas.microsoft.com/office/drawing/2014/main" xmlns="" id="{50168F2A-8F71-524F-8CE3-51C43AF19C31}"/>
            </a:ext>
          </a:extLst>
        </xdr:cNvPr>
        <xdr:cNvPicPr>
          <a:picLocks noChangeAspect="1"/>
        </xdr:cNvPicPr>
      </xdr:nvPicPr>
      <xdr:blipFill>
        <a:blip xmlns:r="http://schemas.openxmlformats.org/officeDocument/2006/relationships" r:embed="rId1"/>
        <a:stretch>
          <a:fillRect/>
        </a:stretch>
      </xdr:blipFill>
      <xdr:spPr>
        <a:xfrm>
          <a:off x="122498" y="21810999"/>
          <a:ext cx="3968588" cy="3739826"/>
        </a:xfrm>
        <a:prstGeom prst="rect">
          <a:avLst/>
        </a:prstGeom>
      </xdr:spPr>
    </xdr:pic>
    <xdr:clientData/>
  </xdr:twoCellAnchor>
  <xdr:twoCellAnchor editAs="oneCell">
    <xdr:from>
      <xdr:col>8</xdr:col>
      <xdr:colOff>490924</xdr:colOff>
      <xdr:row>2</xdr:row>
      <xdr:rowOff>170756</xdr:rowOff>
    </xdr:from>
    <xdr:to>
      <xdr:col>27</xdr:col>
      <xdr:colOff>154399</xdr:colOff>
      <xdr:row>43</xdr:row>
      <xdr:rowOff>67021</xdr:rowOff>
    </xdr:to>
    <xdr:pic>
      <xdr:nvPicPr>
        <xdr:cNvPr id="9" name="Picture 8">
          <a:extLst>
            <a:ext uri="{FF2B5EF4-FFF2-40B4-BE49-F238E27FC236}">
              <a16:creationId xmlns:a16="http://schemas.microsoft.com/office/drawing/2014/main" xmlns="" id="{B5697104-1FF3-3B4D-8783-5F108414254D}"/>
            </a:ext>
          </a:extLst>
        </xdr:cNvPr>
        <xdr:cNvPicPr>
          <a:picLocks noChangeAspect="1"/>
        </xdr:cNvPicPr>
      </xdr:nvPicPr>
      <xdr:blipFill>
        <a:blip xmlns:r="http://schemas.openxmlformats.org/officeDocument/2006/relationships" r:embed="rId2"/>
        <a:stretch>
          <a:fillRect/>
        </a:stretch>
      </xdr:blipFill>
      <xdr:spPr>
        <a:xfrm>
          <a:off x="16552689" y="939159"/>
          <a:ext cx="8220807" cy="7772400"/>
        </a:xfrm>
        <a:prstGeom prst="rect">
          <a:avLst/>
        </a:prstGeom>
      </xdr:spPr>
    </xdr:pic>
    <xdr:clientData/>
  </xdr:twoCellAnchor>
  <xdr:twoCellAnchor editAs="oneCell">
    <xdr:from>
      <xdr:col>1</xdr:col>
      <xdr:colOff>0</xdr:colOff>
      <xdr:row>99</xdr:row>
      <xdr:rowOff>0</xdr:rowOff>
    </xdr:from>
    <xdr:to>
      <xdr:col>3</xdr:col>
      <xdr:colOff>167031</xdr:colOff>
      <xdr:row>117</xdr:row>
      <xdr:rowOff>169241</xdr:rowOff>
    </xdr:to>
    <xdr:pic>
      <xdr:nvPicPr>
        <xdr:cNvPr id="8" name="Picture 7">
          <a:extLst>
            <a:ext uri="{FF2B5EF4-FFF2-40B4-BE49-F238E27FC236}">
              <a16:creationId xmlns:a16="http://schemas.microsoft.com/office/drawing/2014/main" xmlns="" id="{E741050D-4FA1-4C4E-AD3D-B6AA55EFD0A6}"/>
            </a:ext>
          </a:extLst>
        </xdr:cNvPr>
        <xdr:cNvPicPr>
          <a:picLocks noChangeAspect="1"/>
        </xdr:cNvPicPr>
      </xdr:nvPicPr>
      <xdr:blipFill>
        <a:blip xmlns:r="http://schemas.openxmlformats.org/officeDocument/2006/relationships" r:embed="rId3"/>
        <a:stretch>
          <a:fillRect/>
        </a:stretch>
      </xdr:blipFill>
      <xdr:spPr>
        <a:xfrm>
          <a:off x="264160" y="18145760"/>
          <a:ext cx="4018814" cy="3643961"/>
        </a:xfrm>
        <a:prstGeom prst="rect">
          <a:avLst/>
        </a:prstGeom>
      </xdr:spPr>
    </xdr:pic>
    <xdr:clientData/>
  </xdr:twoCellAnchor>
  <xdr:twoCellAnchor editAs="oneCell">
    <xdr:from>
      <xdr:col>3</xdr:col>
      <xdr:colOff>316314</xdr:colOff>
      <xdr:row>99</xdr:row>
      <xdr:rowOff>64709</xdr:rowOff>
    </xdr:from>
    <xdr:to>
      <xdr:col>14</xdr:col>
      <xdr:colOff>152605</xdr:colOff>
      <xdr:row>118</xdr:row>
      <xdr:rowOff>14766</xdr:rowOff>
    </xdr:to>
    <xdr:pic>
      <xdr:nvPicPr>
        <xdr:cNvPr id="10" name="Picture 9">
          <a:extLst>
            <a:ext uri="{FF2B5EF4-FFF2-40B4-BE49-F238E27FC236}">
              <a16:creationId xmlns:a16="http://schemas.microsoft.com/office/drawing/2014/main" xmlns="" id="{6962636A-CD80-7D43-B79F-52FF729EA4E7}"/>
            </a:ext>
          </a:extLst>
        </xdr:cNvPr>
        <xdr:cNvPicPr>
          <a:picLocks noChangeAspect="1"/>
        </xdr:cNvPicPr>
      </xdr:nvPicPr>
      <xdr:blipFill>
        <a:blip xmlns:r="http://schemas.openxmlformats.org/officeDocument/2006/relationships" r:embed="rId4"/>
        <a:stretch>
          <a:fillRect/>
        </a:stretch>
      </xdr:blipFill>
      <xdr:spPr>
        <a:xfrm>
          <a:off x="4624154" y="18210469"/>
          <a:ext cx="4007091" cy="3617817"/>
        </a:xfrm>
        <a:prstGeom prst="rect">
          <a:avLst/>
        </a:prstGeom>
      </xdr:spPr>
    </xdr:pic>
    <xdr:clientData/>
  </xdr:twoCellAnchor>
  <xdr:twoCellAnchor editAs="oneCell">
    <xdr:from>
      <xdr:col>3</xdr:col>
      <xdr:colOff>264332</xdr:colOff>
      <xdr:row>117</xdr:row>
      <xdr:rowOff>76243</xdr:rowOff>
    </xdr:from>
    <xdr:to>
      <xdr:col>14</xdr:col>
      <xdr:colOff>159858</xdr:colOff>
      <xdr:row>137</xdr:row>
      <xdr:rowOff>18826</xdr:rowOff>
    </xdr:to>
    <xdr:pic>
      <xdr:nvPicPr>
        <xdr:cNvPr id="11" name="Picture 10">
          <a:extLst>
            <a:ext uri="{FF2B5EF4-FFF2-40B4-BE49-F238E27FC236}">
              <a16:creationId xmlns:a16="http://schemas.microsoft.com/office/drawing/2014/main" xmlns="" id="{79B91A2B-7012-2040-8021-1B67065F1D97}"/>
            </a:ext>
          </a:extLst>
        </xdr:cNvPr>
        <xdr:cNvPicPr>
          <a:picLocks noChangeAspect="1"/>
        </xdr:cNvPicPr>
      </xdr:nvPicPr>
      <xdr:blipFill>
        <a:blip xmlns:r="http://schemas.openxmlformats.org/officeDocument/2006/relationships" r:embed="rId5"/>
        <a:stretch>
          <a:fillRect/>
        </a:stretch>
      </xdr:blipFill>
      <xdr:spPr>
        <a:xfrm>
          <a:off x="4572172" y="21696723"/>
          <a:ext cx="4066326" cy="3803383"/>
        </a:xfrm>
        <a:prstGeom prst="rect">
          <a:avLst/>
        </a:prstGeom>
      </xdr:spPr>
    </xdr:pic>
    <xdr:clientData/>
  </xdr:twoCellAnchor>
  <xdr:twoCellAnchor editAs="oneCell">
    <xdr:from>
      <xdr:col>15</xdr:col>
      <xdr:colOff>236583</xdr:colOff>
      <xdr:row>101</xdr:row>
      <xdr:rowOff>181429</xdr:rowOff>
    </xdr:from>
    <xdr:to>
      <xdr:col>26</xdr:col>
      <xdr:colOff>441597</xdr:colOff>
      <xdr:row>126</xdr:row>
      <xdr:rowOff>54429</xdr:rowOff>
    </xdr:to>
    <xdr:pic>
      <xdr:nvPicPr>
        <xdr:cNvPr id="2" name="Picture 1">
          <a:extLst>
            <a:ext uri="{FF2B5EF4-FFF2-40B4-BE49-F238E27FC236}">
              <a16:creationId xmlns:a16="http://schemas.microsoft.com/office/drawing/2014/main" xmlns="" id="{1092C1EE-7532-1D40-B7F7-97B5F8EF1E7D}"/>
            </a:ext>
          </a:extLst>
        </xdr:cNvPr>
        <xdr:cNvPicPr>
          <a:picLocks noChangeAspect="1"/>
        </xdr:cNvPicPr>
      </xdr:nvPicPr>
      <xdr:blipFill>
        <a:blip xmlns:r="http://schemas.openxmlformats.org/officeDocument/2006/relationships" r:embed="rId6"/>
        <a:stretch>
          <a:fillRect/>
        </a:stretch>
      </xdr:blipFill>
      <xdr:spPr>
        <a:xfrm>
          <a:off x="8801463" y="18713269"/>
          <a:ext cx="6301014" cy="4699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lliam Sunnucks" id="{69EB1B43-15C9-6E4A-B83C-E0313D2DBEB3}" userId="S::william@sunnucks.co.uk::0a77b9dc-46a7-4567-add1-0a83e4e18f1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2" dT="2019-07-03T20:26:42.16" personId="{69EB1B43-15C9-6E4A-B83C-E0313D2DBEB3}" id="{F34DA4EF-BE15-C24F-9085-9A433E1C3855}">
    <text>Previously 80%</text>
  </threadedComment>
</ThreadedComments>
</file>

<file path=xl/threadedComments/threadedComment2.xml><?xml version="1.0" encoding="utf-8"?>
<ThreadedComments xmlns="http://schemas.microsoft.com/office/spreadsheetml/2018/threadedcomments" xmlns:x="http://schemas.openxmlformats.org/spreadsheetml/2006/main">
  <threadedComment ref="E8" dT="2019-07-03T20:58:34.55" personId="{69EB1B43-15C9-6E4A-B83C-E0313D2DBEB3}" id="{4E490B8A-FCE4-FF4A-A94F-51A91C75C28A}">
    <text>Previously 3504</text>
  </threadedComment>
  <threadedComment ref="E9" dT="2019-07-03T20:59:24.58" personId="{69EB1B43-15C9-6E4A-B83C-E0313D2DBEB3}" id="{A03F85B2-46B3-CD4F-9C66-9151AEAB50DA}">
    <text>Previously 1167</text>
  </threadedComment>
  <threadedComment ref="E11" dT="2019-07-03T21:00:52.79" personId="{69EB1B43-15C9-6E4A-B83C-E0313D2DBEB3}" id="{CA7A5270-DE93-084A-93B3-9FC44C12DD3B}">
    <text>Previously 15%</text>
  </threadedComment>
  <threadedComment ref="F11" dT="2019-07-03T21:00:52.79" personId="{69EB1B43-15C9-6E4A-B83C-E0313D2DBEB3}" id="{BCFF1F67-24A9-7947-A70E-792E817118A1}">
    <text>Previously 15%</text>
  </threadedComment>
  <threadedComment ref="G11" dT="2019-07-03T21:00:52.79" personId="{69EB1B43-15C9-6E4A-B83C-E0313D2DBEB3}" id="{AB7F971A-4B1B-FD48-828F-3E2F3049DC00}">
    <text>Previously 15%</text>
  </threadedComment>
  <threadedComment ref="E16" dT="2019-07-03T21:02:49.07" personId="{69EB1B43-15C9-6E4A-B83C-E0313D2DBEB3}" id="{C6F228CB-AEB4-7545-8777-38477EA4A62A}">
    <text>Previously 15%</text>
  </threadedComment>
  <threadedComment ref="F16" dT="2019-07-03T21:02:49.07" personId="{69EB1B43-15C9-6E4A-B83C-E0313D2DBEB3}" id="{07789C54-8B94-A54C-83B1-67FC9716179D}">
    <text>Previously 15%</text>
  </threadedComment>
  <threadedComment ref="G16" dT="2019-07-03T21:02:49.07" personId="{69EB1B43-15C9-6E4A-B83C-E0313D2DBEB3}" id="{45BBA8C6-787D-F24D-B604-8A843B58BA62}">
    <text>Previously 15%</text>
  </threadedComment>
  <threadedComment ref="I16" dT="2019-07-03T21:02:49.07" personId="{69EB1B43-15C9-6E4A-B83C-E0313D2DBEB3}" id="{A09428D5-84D5-6B46-A5CD-BF50E2B55E38}">
    <text>Previously 15%</text>
  </threadedComment>
  <threadedComment ref="J16" dT="2019-07-03T21:02:49.07" personId="{69EB1B43-15C9-6E4A-B83C-E0313D2DBEB3}" id="{73F8FA56-EC97-FD42-867F-2DDA9B07E259}">
    <text>Previously 15%</text>
  </threadedComment>
  <threadedComment ref="K16" dT="2019-07-03T21:02:49.07" personId="{69EB1B43-15C9-6E4A-B83C-E0313D2DBEB3}" id="{BAF54338-6710-174D-BDD5-0D70AA831585}">
    <text>Previously 15%</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90" workbookViewId="0">
      <selection activeCell="B25" sqref="B25"/>
    </sheetView>
  </sheetViews>
  <sheetFormatPr defaultColWidth="10.85546875" defaultRowHeight="15"/>
  <cols>
    <col min="1" max="1" width="3.7109375" style="767" customWidth="1"/>
    <col min="2" max="2" width="29.28515625" style="767" customWidth="1"/>
    <col min="3" max="3" width="77.28515625" style="767" customWidth="1"/>
    <col min="4" max="16384" width="10.85546875" style="767"/>
  </cols>
  <sheetData>
    <row r="1" spans="1:3" ht="35.1" customHeight="1">
      <c r="A1" s="876" t="s">
        <v>953</v>
      </c>
    </row>
    <row r="2" spans="1:3" ht="39.950000000000003" customHeight="1">
      <c r="B2" s="877" t="s">
        <v>952</v>
      </c>
      <c r="C2" s="878"/>
    </row>
    <row r="3" spans="1:3" ht="21.95" customHeight="1"/>
    <row r="4" spans="1:3" ht="21.95" customHeight="1">
      <c r="A4" s="520" t="s">
        <v>922</v>
      </c>
    </row>
    <row r="5" spans="1:3" ht="21.95" customHeight="1">
      <c r="B5" s="767" t="s">
        <v>923</v>
      </c>
      <c r="C5" s="767" t="s">
        <v>954</v>
      </c>
    </row>
    <row r="6" spans="1:3" ht="21.95" customHeight="1">
      <c r="B6" s="767" t="s">
        <v>437</v>
      </c>
      <c r="C6" s="767" t="s">
        <v>939</v>
      </c>
    </row>
    <row r="7" spans="1:3" ht="21.95" customHeight="1">
      <c r="B7" s="767" t="s">
        <v>513</v>
      </c>
      <c r="C7" s="767" t="s">
        <v>940</v>
      </c>
    </row>
    <row r="8" spans="1:3" ht="21.95" customHeight="1">
      <c r="B8" s="767" t="s">
        <v>924</v>
      </c>
      <c r="C8" s="767" t="s">
        <v>951</v>
      </c>
    </row>
    <row r="9" spans="1:3" ht="21.95" customHeight="1">
      <c r="B9" s="767" t="s">
        <v>925</v>
      </c>
      <c r="C9" s="767" t="s">
        <v>941</v>
      </c>
    </row>
    <row r="10" spans="1:3" ht="21.95" customHeight="1"/>
    <row r="11" spans="1:3" ht="21.95" customHeight="1"/>
    <row r="12" spans="1:3" ht="21.95" customHeight="1">
      <c r="A12" s="520" t="s">
        <v>926</v>
      </c>
    </row>
    <row r="13" spans="1:3" ht="21.95" customHeight="1">
      <c r="B13" s="767" t="s">
        <v>927</v>
      </c>
      <c r="C13" s="767" t="s">
        <v>942</v>
      </c>
    </row>
    <row r="14" spans="1:3" ht="21.95" customHeight="1">
      <c r="B14" s="767" t="s">
        <v>928</v>
      </c>
      <c r="C14" s="767" t="s">
        <v>943</v>
      </c>
    </row>
    <row r="15" spans="1:3" ht="21.95" customHeight="1">
      <c r="B15" s="767" t="s">
        <v>929</v>
      </c>
      <c r="C15" s="767" t="s">
        <v>944</v>
      </c>
    </row>
    <row r="16" spans="1:3" ht="21.95" customHeight="1">
      <c r="B16" s="767" t="s">
        <v>930</v>
      </c>
      <c r="C16" s="767" t="s">
        <v>945</v>
      </c>
    </row>
    <row r="17" spans="2:3" ht="21.95" customHeight="1">
      <c r="B17" s="767" t="s">
        <v>931</v>
      </c>
      <c r="C17" s="767" t="s">
        <v>946</v>
      </c>
    </row>
    <row r="18" spans="2:3" ht="21.95" customHeight="1">
      <c r="B18" s="767" t="s">
        <v>932</v>
      </c>
      <c r="C18" s="767" t="s">
        <v>947</v>
      </c>
    </row>
    <row r="19" spans="2:3" ht="21.95" customHeight="1">
      <c r="B19" s="767" t="s">
        <v>933</v>
      </c>
      <c r="C19" s="767" t="s">
        <v>948</v>
      </c>
    </row>
    <row r="20" spans="2:3" ht="21.95" customHeight="1">
      <c r="B20" s="767" t="s">
        <v>934</v>
      </c>
      <c r="C20" s="767" t="s">
        <v>947</v>
      </c>
    </row>
    <row r="21" spans="2:3" ht="21.95" customHeight="1">
      <c r="B21" s="767" t="s">
        <v>935</v>
      </c>
      <c r="C21" s="767" t="s">
        <v>949</v>
      </c>
    </row>
    <row r="22" spans="2:3" ht="21.95" customHeight="1">
      <c r="B22" s="767" t="s">
        <v>936</v>
      </c>
      <c r="C22" s="767" t="s">
        <v>950</v>
      </c>
    </row>
    <row r="23" spans="2:3" ht="21.95" customHeight="1">
      <c r="B23" s="767" t="s">
        <v>937</v>
      </c>
      <c r="C23" s="767" t="s">
        <v>950</v>
      </c>
    </row>
    <row r="24" spans="2:3" ht="21.95" customHeight="1"/>
    <row r="25" spans="2:3" ht="21.95" customHeight="1"/>
    <row r="26" spans="2:3" ht="21.95" customHeight="1"/>
    <row r="27" spans="2:3" ht="21.95" customHeight="1"/>
    <row r="28" spans="2:3" ht="21.95" customHeight="1"/>
    <row r="29" spans="2:3" ht="21.95" customHeight="1"/>
    <row r="30" spans="2:3" ht="21.95" customHeight="1"/>
    <row r="31" spans="2:3" ht="21.95" customHeight="1"/>
    <row r="32" spans="2:3" ht="21.95" customHeight="1"/>
    <row r="33" ht="21.95" customHeight="1"/>
    <row r="34" ht="21.95" customHeight="1"/>
    <row r="35" ht="21.95" customHeight="1"/>
    <row r="36" ht="21.95" customHeight="1"/>
    <row r="37" ht="21.95" customHeight="1"/>
    <row r="38" ht="21.95" customHeight="1"/>
    <row r="39" ht="21.95" customHeight="1"/>
  </sheetData>
  <mergeCells count="1">
    <mergeCell ref="B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L42"/>
  <sheetViews>
    <sheetView showGridLines="0" zoomScale="84" zoomScalePageLayoutView="75" workbookViewId="0">
      <selection activeCell="F15" sqref="F15"/>
    </sheetView>
  </sheetViews>
  <sheetFormatPr defaultColWidth="9.42578125" defaultRowHeight="16.5" customHeight="1"/>
  <cols>
    <col min="1" max="1" width="4" style="41" customWidth="1"/>
    <col min="2" max="2" width="34.42578125" style="41" customWidth="1"/>
    <col min="3" max="3" width="15" style="41" customWidth="1"/>
    <col min="4" max="4" width="3.140625" style="41" customWidth="1"/>
    <col min="5" max="5" width="17.42578125" style="45" customWidth="1"/>
    <col min="6" max="7" width="17.42578125" style="41" customWidth="1"/>
    <col min="8" max="8" width="3.140625" style="41" customWidth="1"/>
    <col min="9" max="11" width="17.42578125" style="41" customWidth="1"/>
    <col min="12" max="16384" width="9.42578125" style="41"/>
  </cols>
  <sheetData>
    <row r="1" spans="1:12" s="158" customFormat="1" ht="16.5" customHeight="1"/>
    <row r="2" spans="1:12" s="54" customFormat="1" ht="16.5" customHeight="1">
      <c r="A2" s="168"/>
      <c r="B2" s="164" t="s">
        <v>213</v>
      </c>
      <c r="C2" s="165"/>
      <c r="D2" s="250"/>
      <c r="E2" s="166"/>
      <c r="F2" s="166"/>
      <c r="G2" s="166"/>
      <c r="H2" s="169"/>
      <c r="I2" s="169"/>
      <c r="J2" s="169"/>
      <c r="K2" s="169"/>
      <c r="L2" s="169"/>
    </row>
    <row r="3" spans="1:12" s="171" customFormat="1" ht="16.5" customHeight="1">
      <c r="A3" s="175"/>
      <c r="B3" s="163">
        <f>Cover!D6</f>
        <v>0</v>
      </c>
      <c r="C3" s="172"/>
      <c r="D3" s="160"/>
      <c r="E3" s="172"/>
      <c r="F3" s="172"/>
      <c r="G3" s="172"/>
      <c r="H3" s="160"/>
      <c r="I3" s="160"/>
      <c r="J3" s="174" t="s">
        <v>150</v>
      </c>
      <c r="K3" s="895">
        <f>Cover!K6</f>
        <v>0</v>
      </c>
      <c r="L3" s="896"/>
    </row>
    <row r="4" spans="1:12" s="1" customFormat="1" ht="16.5" customHeight="1">
      <c r="C4" s="30"/>
      <c r="E4" s="30"/>
      <c r="F4" s="30"/>
    </row>
    <row r="5" spans="1:12" s="5" customFormat="1" ht="16.5" customHeight="1">
      <c r="B5" s="241" t="s">
        <v>101</v>
      </c>
      <c r="C5" s="242"/>
      <c r="E5" s="53" t="s">
        <v>163</v>
      </c>
      <c r="F5" s="53" t="s">
        <v>168</v>
      </c>
      <c r="G5" s="53" t="s">
        <v>169</v>
      </c>
      <c r="I5" s="53" t="s">
        <v>164</v>
      </c>
      <c r="J5" s="53" t="s">
        <v>165</v>
      </c>
      <c r="K5" s="53" t="s">
        <v>166</v>
      </c>
    </row>
    <row r="6" spans="1:12" ht="16.5" customHeight="1">
      <c r="B6" s="240"/>
      <c r="C6" s="243"/>
      <c r="D6" s="5"/>
      <c r="E6" s="266" t="str">
        <f>'1. Landuse'!J7</f>
        <v>User to define typology</v>
      </c>
      <c r="F6" s="266" t="str">
        <f>'1. Landuse'!J8</f>
        <v>User to define typology</v>
      </c>
      <c r="G6" s="266" t="str">
        <f>'1. Landuse'!J9</f>
        <v>User to define typology</v>
      </c>
      <c r="H6" s="5"/>
      <c r="I6" s="266" t="str">
        <f>'1. Landuse'!J12</f>
        <v>User to define typology</v>
      </c>
      <c r="J6" s="266" t="str">
        <f>'1. Landuse'!J13</f>
        <v>User to define typology</v>
      </c>
      <c r="K6" s="266" t="str">
        <f>'1. Landuse'!J14</f>
        <v>User to define typology</v>
      </c>
    </row>
    <row r="7" spans="1:12" ht="16.5" customHeight="1">
      <c r="B7" s="13" t="s">
        <v>194</v>
      </c>
      <c r="C7" s="20" t="s">
        <v>199</v>
      </c>
      <c r="D7" s="5"/>
      <c r="E7" s="307">
        <v>100</v>
      </c>
      <c r="F7" s="307">
        <v>100</v>
      </c>
      <c r="G7" s="304">
        <v>100</v>
      </c>
      <c r="H7" s="5"/>
      <c r="I7" s="304">
        <v>80</v>
      </c>
      <c r="J7" s="304">
        <v>80</v>
      </c>
      <c r="K7" s="304">
        <v>80</v>
      </c>
    </row>
    <row r="8" spans="1:12" ht="16.5" customHeight="1">
      <c r="B8" s="13" t="s">
        <v>229</v>
      </c>
      <c r="C8" s="20" t="s">
        <v>200</v>
      </c>
      <c r="D8" s="5"/>
      <c r="E8" s="199">
        <v>3598</v>
      </c>
      <c r="F8" s="199">
        <v>3598</v>
      </c>
      <c r="G8" s="199">
        <v>3598</v>
      </c>
      <c r="H8" s="5"/>
      <c r="I8" s="199">
        <f>E8*0.5</f>
        <v>1799</v>
      </c>
      <c r="J8" s="199">
        <f>E8*0.8</f>
        <v>2878.4</v>
      </c>
      <c r="K8" s="199"/>
    </row>
    <row r="9" spans="1:12" ht="16.5" customHeight="1">
      <c r="B9" s="13" t="s">
        <v>84</v>
      </c>
      <c r="C9" s="20" t="s">
        <v>200</v>
      </c>
      <c r="D9" s="5"/>
      <c r="E9" s="199">
        <v>1293</v>
      </c>
      <c r="F9" s="199">
        <v>1293</v>
      </c>
      <c r="G9" s="199">
        <v>1293</v>
      </c>
      <c r="H9" s="5"/>
      <c r="I9" s="199">
        <v>1293</v>
      </c>
      <c r="J9" s="199">
        <v>1293</v>
      </c>
      <c r="K9" s="199"/>
    </row>
    <row r="10" spans="1:12" ht="16.5" customHeight="1">
      <c r="B10" s="244" t="s">
        <v>195</v>
      </c>
      <c r="C10" s="239"/>
      <c r="E10" s="41"/>
      <c r="I10" s="158"/>
      <c r="L10" s="1"/>
    </row>
    <row r="11" spans="1:12" ht="16.5" customHeight="1">
      <c r="B11" s="13" t="s">
        <v>241</v>
      </c>
      <c r="C11" s="20" t="s">
        <v>201</v>
      </c>
      <c r="E11" s="190">
        <v>0.15</v>
      </c>
      <c r="F11" s="190">
        <v>0.15</v>
      </c>
      <c r="G11" s="190">
        <v>0.15</v>
      </c>
      <c r="I11" s="190">
        <v>0.06</v>
      </c>
      <c r="J11" s="190">
        <v>0.06</v>
      </c>
      <c r="K11" s="190"/>
      <c r="L11" s="1"/>
    </row>
    <row r="12" spans="1:12" s="1" customFormat="1" ht="16.5" customHeight="1">
      <c r="B12" s="27" t="s">
        <v>80</v>
      </c>
      <c r="C12" s="20" t="s">
        <v>201</v>
      </c>
      <c r="D12" s="41"/>
      <c r="E12" s="190">
        <v>0.01</v>
      </c>
      <c r="F12" s="190">
        <v>0.01</v>
      </c>
      <c r="G12" s="190">
        <v>0.01</v>
      </c>
      <c r="H12" s="41"/>
      <c r="I12" s="190"/>
      <c r="J12" s="190"/>
      <c r="K12" s="190"/>
    </row>
    <row r="13" spans="1:12" s="5" customFormat="1" ht="16.5" customHeight="1">
      <c r="B13" s="27" t="s">
        <v>259</v>
      </c>
      <c r="C13" s="20" t="s">
        <v>201</v>
      </c>
      <c r="D13" s="41"/>
      <c r="E13" s="190">
        <v>5.0000000000000001E-3</v>
      </c>
      <c r="F13" s="190">
        <v>5.0000000000000001E-3</v>
      </c>
      <c r="G13" s="190">
        <v>5.0000000000000001E-3</v>
      </c>
      <c r="H13" s="41"/>
      <c r="I13" s="190">
        <v>5.0000000000000001E-3</v>
      </c>
      <c r="J13" s="190">
        <v>5.0000000000000001E-3</v>
      </c>
      <c r="K13" s="190"/>
    </row>
    <row r="14" spans="1:12" ht="16.5" customHeight="1">
      <c r="B14" s="13" t="s">
        <v>82</v>
      </c>
      <c r="C14" s="20" t="s">
        <v>201</v>
      </c>
      <c r="E14" s="190">
        <v>0.01</v>
      </c>
      <c r="F14" s="190">
        <v>0.01</v>
      </c>
      <c r="G14" s="190">
        <v>0.01</v>
      </c>
      <c r="I14" s="190"/>
      <c r="J14" s="190"/>
      <c r="K14" s="190"/>
    </row>
    <row r="15" spans="1:12" ht="16.5" customHeight="1">
      <c r="B15" s="244" t="s">
        <v>196</v>
      </c>
      <c r="C15" s="161"/>
      <c r="E15" s="41"/>
    </row>
    <row r="16" spans="1:12" ht="16.5" customHeight="1">
      <c r="B16" s="13" t="s">
        <v>85</v>
      </c>
      <c r="C16" s="20" t="s">
        <v>202</v>
      </c>
      <c r="E16" s="190">
        <v>0.1</v>
      </c>
      <c r="F16" s="190">
        <v>0.1</v>
      </c>
      <c r="G16" s="190">
        <v>0.1</v>
      </c>
      <c r="I16" s="190">
        <v>0.1</v>
      </c>
      <c r="J16" s="190">
        <v>0.1</v>
      </c>
      <c r="K16" s="190"/>
    </row>
    <row r="17" spans="2:11" ht="16.5" customHeight="1">
      <c r="B17" s="39" t="s">
        <v>83</v>
      </c>
      <c r="C17" s="20" t="s">
        <v>202</v>
      </c>
      <c r="E17" s="190">
        <v>0.08</v>
      </c>
      <c r="F17" s="190">
        <v>0.08</v>
      </c>
      <c r="G17" s="190">
        <v>0.08</v>
      </c>
      <c r="I17" s="190">
        <v>0.08</v>
      </c>
      <c r="J17" s="190">
        <v>0.08</v>
      </c>
      <c r="K17" s="190"/>
    </row>
    <row r="18" spans="2:11" ht="16.5" customHeight="1">
      <c r="B18" s="13" t="s">
        <v>260</v>
      </c>
      <c r="C18" s="20" t="s">
        <v>202</v>
      </c>
      <c r="E18" s="190">
        <v>0.06</v>
      </c>
      <c r="F18" s="190">
        <v>0.06</v>
      </c>
      <c r="G18" s="190">
        <v>0.06</v>
      </c>
      <c r="I18" s="190">
        <v>0.06</v>
      </c>
      <c r="J18" s="190">
        <v>0.06</v>
      </c>
      <c r="K18" s="190"/>
    </row>
    <row r="19" spans="2:11" ht="16.5" customHeight="1">
      <c r="B19" s="13" t="s">
        <v>230</v>
      </c>
      <c r="C19" s="20"/>
      <c r="E19" s="190">
        <v>1</v>
      </c>
      <c r="F19" s="190">
        <v>1</v>
      </c>
      <c r="G19" s="190">
        <v>1</v>
      </c>
      <c r="I19" s="190">
        <v>1</v>
      </c>
      <c r="J19" s="190">
        <v>1</v>
      </c>
      <c r="K19" s="190"/>
    </row>
    <row r="20" spans="2:11" ht="16.5" customHeight="1">
      <c r="B20" s="13" t="s">
        <v>240</v>
      </c>
      <c r="C20" s="20" t="s">
        <v>203</v>
      </c>
      <c r="E20" s="202"/>
      <c r="F20" s="202"/>
      <c r="G20" s="202"/>
      <c r="I20" s="202"/>
      <c r="J20" s="202"/>
      <c r="K20" s="202"/>
    </row>
    <row r="21" spans="2:11" ht="16.5" customHeight="1">
      <c r="B21" s="13" t="s">
        <v>231</v>
      </c>
      <c r="C21" s="20" t="s">
        <v>232</v>
      </c>
      <c r="E21" s="272">
        <f>'8. Site Values'!D79</f>
        <v>4.93920972644377</v>
      </c>
      <c r="F21" s="272">
        <f>'8. Site Values'!D80</f>
        <v>0</v>
      </c>
      <c r="G21" s="272">
        <f>'8. Site Values'!D81</f>
        <v>0</v>
      </c>
      <c r="H21" s="273"/>
      <c r="I21" s="272">
        <f>'8. Site Values'!D82</f>
        <v>0.20685579196217496</v>
      </c>
      <c r="J21" s="272">
        <f>'8. Site Values'!D83</f>
        <v>2.8812056737588652</v>
      </c>
      <c r="K21" s="272">
        <f>'8. Site Values'!D84</f>
        <v>0</v>
      </c>
    </row>
    <row r="22" spans="2:11" ht="16.5" customHeight="1">
      <c r="E22" s="1"/>
      <c r="F22" s="1"/>
      <c r="G22" s="1"/>
    </row>
    <row r="23" spans="2:11" ht="16.5" customHeight="1">
      <c r="B23" s="241" t="s">
        <v>102</v>
      </c>
      <c r="C23" s="242"/>
      <c r="E23" s="235" t="s">
        <v>233</v>
      </c>
      <c r="F23" s="237" t="s">
        <v>234</v>
      </c>
      <c r="G23" s="113" t="s">
        <v>198</v>
      </c>
    </row>
    <row r="24" spans="2:11" ht="16.5" customHeight="1">
      <c r="B24" s="240"/>
      <c r="C24" s="243"/>
      <c r="E24" s="236"/>
      <c r="F24" s="238"/>
      <c r="G24" s="234"/>
    </row>
    <row r="25" spans="2:11" ht="16.5" customHeight="1">
      <c r="B25" s="13" t="s">
        <v>197</v>
      </c>
      <c r="C25" s="20" t="s">
        <v>204</v>
      </c>
      <c r="E25" s="308"/>
      <c r="F25" s="308">
        <v>86</v>
      </c>
      <c r="G25" s="309">
        <v>161.5</v>
      </c>
    </row>
    <row r="26" spans="2:11" ht="16.5" customHeight="1">
      <c r="B26" s="13" t="s">
        <v>302</v>
      </c>
      <c r="C26" s="20"/>
      <c r="E26" s="203">
        <v>7.0000000000000007E-2</v>
      </c>
      <c r="F26" s="203">
        <v>0.06</v>
      </c>
      <c r="G26" s="203">
        <v>6.5000000000000002E-2</v>
      </c>
    </row>
    <row r="27" spans="2:11" ht="16.5" customHeight="1">
      <c r="B27" s="13" t="s">
        <v>206</v>
      </c>
      <c r="C27" s="20" t="s">
        <v>200</v>
      </c>
      <c r="E27" s="274">
        <f>E25/E26</f>
        <v>0</v>
      </c>
      <c r="F27" s="274">
        <f>F25/F26</f>
        <v>1433.3333333333335</v>
      </c>
      <c r="G27" s="274">
        <f>G25/G26</f>
        <v>2484.6153846153848</v>
      </c>
    </row>
    <row r="28" spans="2:11" ht="16.5" customHeight="1">
      <c r="B28" s="13" t="s">
        <v>84</v>
      </c>
      <c r="C28" s="20" t="s">
        <v>200</v>
      </c>
      <c r="E28" s="202"/>
      <c r="F28" s="202">
        <v>804</v>
      </c>
      <c r="G28" s="202">
        <v>759</v>
      </c>
    </row>
    <row r="29" spans="2:11" ht="16.5" customHeight="1">
      <c r="B29" s="244" t="s">
        <v>195</v>
      </c>
      <c r="C29" s="239"/>
      <c r="E29" s="41"/>
    </row>
    <row r="30" spans="2:11" ht="16.5" customHeight="1">
      <c r="B30" s="13" t="s">
        <v>261</v>
      </c>
      <c r="C30" s="20" t="s">
        <v>201</v>
      </c>
      <c r="E30" s="190">
        <v>0.17499999999999999</v>
      </c>
      <c r="F30" s="190">
        <v>0.17499999999999999</v>
      </c>
      <c r="G30" s="190">
        <v>0.17499999999999999</v>
      </c>
    </row>
    <row r="31" spans="2:11" ht="16.5" customHeight="1">
      <c r="B31" s="27" t="s">
        <v>80</v>
      </c>
      <c r="C31" s="20" t="s">
        <v>201</v>
      </c>
      <c r="E31" s="190">
        <v>0.01</v>
      </c>
      <c r="F31" s="190">
        <v>0.01</v>
      </c>
      <c r="G31" s="190">
        <v>0.01</v>
      </c>
    </row>
    <row r="32" spans="2:11" ht="16.5" customHeight="1">
      <c r="B32" s="27" t="s">
        <v>259</v>
      </c>
      <c r="C32" s="20" t="s">
        <v>201</v>
      </c>
      <c r="E32" s="190">
        <v>5.0000000000000001E-3</v>
      </c>
      <c r="F32" s="190">
        <v>5.0000000000000001E-3</v>
      </c>
      <c r="G32" s="190">
        <v>5.0000000000000001E-3</v>
      </c>
    </row>
    <row r="33" spans="2:7" ht="16.5" customHeight="1">
      <c r="B33" s="13" t="s">
        <v>82</v>
      </c>
      <c r="C33" s="20" t="s">
        <v>201</v>
      </c>
      <c r="E33" s="190">
        <v>0.02</v>
      </c>
      <c r="F33" s="190">
        <v>0.02</v>
      </c>
      <c r="G33" s="190">
        <v>0.02</v>
      </c>
    </row>
    <row r="34" spans="2:7" ht="16.5" customHeight="1">
      <c r="B34" s="244" t="s">
        <v>196</v>
      </c>
      <c r="C34" s="161"/>
      <c r="E34" s="41"/>
    </row>
    <row r="35" spans="2:7" ht="16.5" customHeight="1">
      <c r="B35" s="13" t="s">
        <v>85</v>
      </c>
      <c r="C35" s="20" t="s">
        <v>202</v>
      </c>
      <c r="E35" s="190">
        <v>0.1</v>
      </c>
      <c r="F35" s="190">
        <v>0.1</v>
      </c>
      <c r="G35" s="190">
        <v>0.1</v>
      </c>
    </row>
    <row r="36" spans="2:7" ht="16.5" customHeight="1">
      <c r="B36" s="39" t="s">
        <v>83</v>
      </c>
      <c r="C36" s="20" t="s">
        <v>202</v>
      </c>
      <c r="E36" s="190">
        <v>0.08</v>
      </c>
      <c r="F36" s="190">
        <v>0.08</v>
      </c>
      <c r="G36" s="190">
        <v>0.08</v>
      </c>
    </row>
    <row r="37" spans="2:7" ht="16.5" customHeight="1">
      <c r="B37" s="13" t="s">
        <v>187</v>
      </c>
      <c r="C37" s="20" t="s">
        <v>202</v>
      </c>
      <c r="E37" s="190">
        <v>0.06</v>
      </c>
      <c r="F37" s="190">
        <v>0.06</v>
      </c>
      <c r="G37" s="190">
        <v>0.06</v>
      </c>
    </row>
    <row r="38" spans="2:7" ht="16.5" customHeight="1">
      <c r="B38" s="13" t="s">
        <v>188</v>
      </c>
      <c r="C38" s="20"/>
      <c r="E38" s="190">
        <v>1</v>
      </c>
      <c r="F38" s="190">
        <v>1</v>
      </c>
      <c r="G38" s="190">
        <v>1</v>
      </c>
    </row>
    <row r="39" spans="2:7" ht="16.5" customHeight="1">
      <c r="B39" s="13" t="s">
        <v>240</v>
      </c>
      <c r="C39" s="20" t="s">
        <v>203</v>
      </c>
      <c r="E39" s="202"/>
      <c r="F39" s="202"/>
      <c r="G39" s="202"/>
    </row>
    <row r="40" spans="2:7" ht="16.5" customHeight="1">
      <c r="B40" s="13" t="s">
        <v>231</v>
      </c>
      <c r="C40" s="20" t="s">
        <v>232</v>
      </c>
      <c r="E40" s="272">
        <f>'8. Site Values'!D85</f>
        <v>0</v>
      </c>
      <c r="F40" s="272">
        <f>'8. Site Values'!D86</f>
        <v>0.42801556420233466</v>
      </c>
      <c r="G40" s="272">
        <f>'8. Site Values'!D87</f>
        <v>3.9698492462311559</v>
      </c>
    </row>
    <row r="42" spans="2:7" ht="16.5" hidden="1" customHeight="1">
      <c r="B42" s="41" t="s">
        <v>322</v>
      </c>
      <c r="E42" s="45">
        <f>E7*E20</f>
        <v>0</v>
      </c>
      <c r="F42" s="45">
        <f>F7*F20</f>
        <v>0</v>
      </c>
      <c r="G42" s="45">
        <f>G7*G20</f>
        <v>0</v>
      </c>
    </row>
  </sheetData>
  <sheetProtection sheet="1" selectLockedCells="1"/>
  <mergeCells count="1">
    <mergeCell ref="K3:L3"/>
  </mergeCells>
  <pageMargins left="0.7" right="0.7" top="0.75" bottom="0.75" header="0.3" footer="0.3"/>
  <pageSetup paperSize="9" scale="74" orientation="landscape"/>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CJ42"/>
  <sheetViews>
    <sheetView showGridLines="0" showZeros="0" zoomScale="82" zoomScaleNormal="90" zoomScalePageLayoutView="75" workbookViewId="0">
      <selection activeCell="F15" sqref="F15"/>
    </sheetView>
  </sheetViews>
  <sheetFormatPr defaultColWidth="8.85546875" defaultRowHeight="15" customHeight="1"/>
  <cols>
    <col min="1" max="1" width="3.28515625" style="41" customWidth="1"/>
    <col min="2" max="2" width="29.85546875" style="41" customWidth="1"/>
    <col min="3" max="3" width="10.7109375" style="60" customWidth="1"/>
    <col min="4" max="53" width="7" style="41" customWidth="1"/>
    <col min="54" max="16384" width="8.85546875" style="41"/>
  </cols>
  <sheetData>
    <row r="1" spans="1:88" s="158" customFormat="1" ht="15" customHeight="1"/>
    <row r="2" spans="1:88" s="54" customFormat="1" ht="15" customHeight="1">
      <c r="A2" s="168"/>
      <c r="B2" s="164" t="s">
        <v>107</v>
      </c>
      <c r="C2" s="165"/>
      <c r="D2" s="166"/>
      <c r="E2" s="166"/>
      <c r="F2" s="169"/>
      <c r="G2" s="170"/>
      <c r="H2" s="169"/>
      <c r="I2" s="168"/>
      <c r="M2" s="168"/>
      <c r="O2" s="168"/>
    </row>
    <row r="3" spans="1:88" s="171" customFormat="1" ht="15" customHeight="1">
      <c r="A3" s="175"/>
      <c r="B3" s="163">
        <f>Cover!D6</f>
        <v>0</v>
      </c>
      <c r="C3" s="172"/>
      <c r="D3" s="172"/>
      <c r="E3" s="172"/>
      <c r="F3" s="160"/>
      <c r="G3" s="160"/>
      <c r="H3" s="160"/>
      <c r="I3" s="160"/>
      <c r="J3" s="176"/>
      <c r="K3" s="176"/>
      <c r="L3" s="176"/>
      <c r="M3" s="176"/>
      <c r="N3" s="176"/>
      <c r="O3" s="176"/>
      <c r="P3" s="176"/>
      <c r="Q3" s="176"/>
      <c r="R3" s="174" t="s">
        <v>150</v>
      </c>
      <c r="S3" s="895">
        <f>Cover!K6</f>
        <v>0</v>
      </c>
      <c r="T3" s="896"/>
      <c r="U3" s="896"/>
      <c r="X3" s="302"/>
      <c r="AA3" s="302"/>
    </row>
    <row r="4" spans="1:88" s="2" customFormat="1" ht="15" customHeight="1">
      <c r="C4" s="57"/>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CJ4"/>
    </row>
    <row r="5" spans="1:88" s="1" customFormat="1" ht="15" customHeight="1">
      <c r="B5" s="173" t="s">
        <v>101</v>
      </c>
      <c r="C5" s="438" t="s">
        <v>589</v>
      </c>
      <c r="D5" s="62" t="s">
        <v>584</v>
      </c>
      <c r="E5" s="438" t="s">
        <v>589</v>
      </c>
      <c r="F5" s="62" t="s">
        <v>349</v>
      </c>
      <c r="G5" s="62" t="s">
        <v>350</v>
      </c>
      <c r="H5" s="62" t="s">
        <v>351</v>
      </c>
      <c r="I5" s="64" t="s">
        <v>56</v>
      </c>
      <c r="J5" s="64" t="s">
        <v>352</v>
      </c>
      <c r="K5" s="64" t="s">
        <v>353</v>
      </c>
      <c r="L5" s="64" t="s">
        <v>354</v>
      </c>
      <c r="M5" s="64" t="s">
        <v>355</v>
      </c>
      <c r="N5" s="63" t="s">
        <v>57</v>
      </c>
      <c r="O5" s="63" t="s">
        <v>356</v>
      </c>
      <c r="P5" s="63" t="s">
        <v>357</v>
      </c>
      <c r="Q5" s="63">
        <v>2029</v>
      </c>
      <c r="R5" s="63">
        <v>2030</v>
      </c>
      <c r="S5" s="63">
        <v>2031</v>
      </c>
      <c r="T5" s="63">
        <v>2032</v>
      </c>
      <c r="U5" s="63">
        <v>2033</v>
      </c>
      <c r="V5" s="63">
        <v>2034</v>
      </c>
      <c r="W5" s="63">
        <v>2035</v>
      </c>
      <c r="X5" s="63">
        <v>2036</v>
      </c>
      <c r="Y5" s="63">
        <v>2037</v>
      </c>
      <c r="Z5" s="63">
        <v>2038</v>
      </c>
      <c r="AA5" s="63">
        <v>2039</v>
      </c>
      <c r="AB5" s="63">
        <v>2040</v>
      </c>
      <c r="AC5" s="63">
        <v>2041</v>
      </c>
      <c r="AD5" s="63">
        <v>2042</v>
      </c>
      <c r="AE5" s="63">
        <v>2043</v>
      </c>
      <c r="AF5" s="63">
        <v>2044</v>
      </c>
      <c r="AG5" s="63">
        <v>2045</v>
      </c>
      <c r="AH5" s="63">
        <v>2046</v>
      </c>
      <c r="AI5" s="63">
        <v>2047</v>
      </c>
      <c r="AJ5" s="63">
        <v>2048</v>
      </c>
      <c r="AK5" s="63">
        <v>2049</v>
      </c>
      <c r="AL5" s="63">
        <v>2050</v>
      </c>
      <c r="AM5" s="63">
        <v>2051</v>
      </c>
      <c r="AN5" s="63">
        <v>2052</v>
      </c>
      <c r="AO5" s="63">
        <v>2053</v>
      </c>
      <c r="AP5" s="63">
        <v>2054</v>
      </c>
      <c r="AQ5" s="63">
        <v>2055</v>
      </c>
      <c r="AR5" s="63">
        <v>2056</v>
      </c>
      <c r="AS5" s="63">
        <v>2057</v>
      </c>
      <c r="AT5" s="63">
        <v>2058</v>
      </c>
      <c r="AU5" s="63">
        <v>2059</v>
      </c>
      <c r="AV5" s="63">
        <v>2060</v>
      </c>
      <c r="AW5" s="63">
        <v>2061</v>
      </c>
      <c r="AX5" s="63">
        <v>2062</v>
      </c>
      <c r="AY5" s="63">
        <v>2063</v>
      </c>
      <c r="AZ5" s="63">
        <v>2064</v>
      </c>
      <c r="BA5" s="63">
        <v>2065</v>
      </c>
      <c r="BB5" s="63">
        <v>2066</v>
      </c>
      <c r="BC5" s="63">
        <v>2067</v>
      </c>
      <c r="BD5" s="63">
        <v>2068</v>
      </c>
      <c r="BE5" s="63">
        <v>2069</v>
      </c>
      <c r="BF5" s="63">
        <v>2070</v>
      </c>
      <c r="BG5" s="63">
        <v>2071</v>
      </c>
      <c r="BH5" s="63">
        <v>2072</v>
      </c>
      <c r="BI5" s="63">
        <v>2073</v>
      </c>
      <c r="BJ5" s="63">
        <v>2074</v>
      </c>
      <c r="BK5" s="63">
        <v>2075</v>
      </c>
      <c r="BL5" s="63">
        <v>2076</v>
      </c>
      <c r="BM5" s="63">
        <v>2077</v>
      </c>
      <c r="BN5" s="63">
        <v>2078</v>
      </c>
      <c r="BO5" s="63">
        <v>2079</v>
      </c>
      <c r="BP5" s="63">
        <v>2080</v>
      </c>
      <c r="BQ5" s="63">
        <v>2081</v>
      </c>
      <c r="BR5" s="63">
        <v>2082</v>
      </c>
      <c r="BS5" s="63">
        <v>2083</v>
      </c>
      <c r="BT5" s="63">
        <v>2084</v>
      </c>
      <c r="BU5" s="63">
        <v>2085</v>
      </c>
      <c r="BV5" s="63">
        <v>2086</v>
      </c>
      <c r="BW5" s="63">
        <v>2087</v>
      </c>
      <c r="BX5" s="63">
        <v>2088</v>
      </c>
      <c r="BY5" s="63">
        <v>2089</v>
      </c>
      <c r="BZ5" s="63">
        <v>2090</v>
      </c>
      <c r="CA5" s="63">
        <v>2091</v>
      </c>
      <c r="CB5" s="63">
        <v>2092</v>
      </c>
      <c r="CC5" s="63">
        <v>2093</v>
      </c>
      <c r="CD5" s="63">
        <v>2094</v>
      </c>
      <c r="CE5" s="63">
        <v>2095</v>
      </c>
      <c r="CF5" s="63">
        <v>2096</v>
      </c>
      <c r="CG5" s="63">
        <v>2097</v>
      </c>
      <c r="CH5" s="63">
        <v>2098</v>
      </c>
      <c r="CI5" s="63">
        <v>2099</v>
      </c>
      <c r="CJ5"/>
    </row>
    <row r="6" spans="1:88" s="5" customFormat="1" ht="15" customHeight="1">
      <c r="B6" s="43" t="s">
        <v>105</v>
      </c>
      <c r="C6" s="29" t="s">
        <v>4</v>
      </c>
      <c r="D6" s="65"/>
      <c r="E6" s="65"/>
      <c r="F6" s="65" t="s">
        <v>477</v>
      </c>
      <c r="G6" s="65" t="s">
        <v>5</v>
      </c>
      <c r="H6" s="65" t="s">
        <v>6</v>
      </c>
      <c r="I6" s="65" t="s">
        <v>7</v>
      </c>
      <c r="J6" s="65" t="s">
        <v>8</v>
      </c>
      <c r="K6" s="65" t="s">
        <v>9</v>
      </c>
      <c r="L6" s="65" t="s">
        <v>10</v>
      </c>
      <c r="M6" s="65" t="s">
        <v>11</v>
      </c>
      <c r="N6" s="65" t="s">
        <v>12</v>
      </c>
      <c r="O6" s="65" t="s">
        <v>13</v>
      </c>
      <c r="P6" s="65" t="s">
        <v>14</v>
      </c>
      <c r="Q6" s="65" t="s">
        <v>15</v>
      </c>
      <c r="R6" s="65" t="s">
        <v>16</v>
      </c>
      <c r="S6" s="65" t="s">
        <v>17</v>
      </c>
      <c r="T6" s="65" t="s">
        <v>18</v>
      </c>
      <c r="U6" s="65" t="s">
        <v>19</v>
      </c>
      <c r="V6" s="65" t="s">
        <v>20</v>
      </c>
      <c r="W6" s="65" t="s">
        <v>21</v>
      </c>
      <c r="X6" s="65" t="s">
        <v>22</v>
      </c>
      <c r="Y6" s="65" t="s">
        <v>23</v>
      </c>
      <c r="Z6" s="65" t="s">
        <v>24</v>
      </c>
      <c r="AA6" s="65" t="s">
        <v>25</v>
      </c>
      <c r="AB6" s="65" t="s">
        <v>26</v>
      </c>
      <c r="AC6" s="65" t="s">
        <v>27</v>
      </c>
      <c r="AD6" s="65" t="s">
        <v>28</v>
      </c>
      <c r="AE6" s="65" t="s">
        <v>29</v>
      </c>
      <c r="AF6" s="65" t="s">
        <v>30</v>
      </c>
      <c r="AG6" s="65" t="s">
        <v>31</v>
      </c>
      <c r="AH6" s="65" t="s">
        <v>32</v>
      </c>
      <c r="AI6" s="65" t="s">
        <v>33</v>
      </c>
      <c r="AJ6" s="65" t="s">
        <v>34</v>
      </c>
      <c r="AK6" s="65" t="s">
        <v>35</v>
      </c>
      <c r="AL6" s="65" t="s">
        <v>36</v>
      </c>
      <c r="AM6" s="65" t="s">
        <v>37</v>
      </c>
      <c r="AN6" s="65" t="s">
        <v>38</v>
      </c>
      <c r="AO6" s="65" t="s">
        <v>39</v>
      </c>
      <c r="AP6" s="65" t="s">
        <v>40</v>
      </c>
      <c r="AQ6" s="65" t="s">
        <v>41</v>
      </c>
      <c r="AR6" s="65" t="s">
        <v>42</v>
      </c>
      <c r="AS6" s="65" t="s">
        <v>43</v>
      </c>
      <c r="AT6" s="65" t="s">
        <v>53</v>
      </c>
      <c r="AU6" s="65" t="s">
        <v>331</v>
      </c>
      <c r="AV6" s="65" t="s">
        <v>332</v>
      </c>
      <c r="AW6" s="65" t="s">
        <v>333</v>
      </c>
      <c r="AX6" s="65" t="s">
        <v>334</v>
      </c>
      <c r="AY6" s="65" t="s">
        <v>335</v>
      </c>
      <c r="AZ6" s="65" t="s">
        <v>336</v>
      </c>
      <c r="BA6" s="65" t="s">
        <v>337</v>
      </c>
      <c r="BB6" s="65" t="s">
        <v>338</v>
      </c>
      <c r="BC6" s="65" t="s">
        <v>339</v>
      </c>
      <c r="BD6" s="65" t="s">
        <v>340</v>
      </c>
      <c r="BE6" s="65" t="s">
        <v>478</v>
      </c>
      <c r="BF6" s="65" t="s">
        <v>479</v>
      </c>
      <c r="BG6" s="65" t="s">
        <v>480</v>
      </c>
      <c r="BH6" s="65" t="s">
        <v>481</v>
      </c>
      <c r="BI6" s="65" t="s">
        <v>482</v>
      </c>
      <c r="BJ6" s="65" t="s">
        <v>483</v>
      </c>
      <c r="BK6" s="65" t="s">
        <v>484</v>
      </c>
      <c r="BL6" s="65" t="s">
        <v>485</v>
      </c>
      <c r="BM6" s="65" t="s">
        <v>486</v>
      </c>
      <c r="BN6" s="65" t="s">
        <v>487</v>
      </c>
      <c r="BO6" s="65" t="s">
        <v>488</v>
      </c>
      <c r="BP6" s="65" t="s">
        <v>489</v>
      </c>
      <c r="BQ6" s="65" t="s">
        <v>490</v>
      </c>
      <c r="BR6" s="65" t="s">
        <v>491</v>
      </c>
      <c r="BS6" s="65" t="s">
        <v>492</v>
      </c>
      <c r="BT6" s="65" t="s">
        <v>493</v>
      </c>
      <c r="BU6" s="65" t="s">
        <v>494</v>
      </c>
      <c r="BV6" s="65" t="s">
        <v>495</v>
      </c>
      <c r="BW6" s="65" t="s">
        <v>496</v>
      </c>
      <c r="BX6" s="65" t="s">
        <v>497</v>
      </c>
      <c r="BY6" s="65" t="s">
        <v>498</v>
      </c>
      <c r="BZ6" s="65" t="s">
        <v>499</v>
      </c>
      <c r="CA6" s="65" t="s">
        <v>500</v>
      </c>
      <c r="CB6" s="65" t="s">
        <v>501</v>
      </c>
      <c r="CC6" s="65" t="s">
        <v>502</v>
      </c>
      <c r="CD6" s="65" t="s">
        <v>503</v>
      </c>
      <c r="CE6" s="65" t="s">
        <v>504</v>
      </c>
      <c r="CF6" s="65" t="s">
        <v>505</v>
      </c>
      <c r="CG6" s="65" t="s">
        <v>506</v>
      </c>
      <c r="CH6" s="65" t="s">
        <v>507</v>
      </c>
      <c r="CI6" s="65" t="s">
        <v>508</v>
      </c>
      <c r="CJ6"/>
    </row>
    <row r="7" spans="1:88" s="47" customFormat="1" ht="15" customHeight="1">
      <c r="B7" s="204" t="s">
        <v>330</v>
      </c>
      <c r="C7" s="110">
        <f>'1. Landuse'!C21</f>
        <v>21000</v>
      </c>
      <c r="D7" s="435">
        <f>SUM(F7:CI7)-C7</f>
        <v>0</v>
      </c>
      <c r="E7" s="303">
        <f>SUM(F7:U7)/C7</f>
        <v>6.4285714285714279E-2</v>
      </c>
      <c r="F7" s="205"/>
      <c r="G7" s="205"/>
      <c r="H7" s="205"/>
      <c r="I7" s="205"/>
      <c r="J7" s="205"/>
      <c r="K7" s="205"/>
      <c r="L7" s="205"/>
      <c r="M7" s="205"/>
      <c r="N7" s="205"/>
      <c r="O7" s="205"/>
      <c r="P7" s="205"/>
      <c r="Q7" s="205">
        <v>150</v>
      </c>
      <c r="R7" s="205">
        <v>300</v>
      </c>
      <c r="S7" s="205">
        <v>300</v>
      </c>
      <c r="T7" s="205">
        <v>300</v>
      </c>
      <c r="U7" s="205">
        <v>300</v>
      </c>
      <c r="V7" s="205">
        <v>300</v>
      </c>
      <c r="W7" s="205">
        <v>300</v>
      </c>
      <c r="X7" s="205">
        <v>300</v>
      </c>
      <c r="Y7" s="205">
        <v>300</v>
      </c>
      <c r="Z7" s="205">
        <v>300</v>
      </c>
      <c r="AA7" s="205">
        <v>300</v>
      </c>
      <c r="AB7" s="205">
        <v>300</v>
      </c>
      <c r="AC7" s="205">
        <v>300</v>
      </c>
      <c r="AD7" s="205">
        <v>300</v>
      </c>
      <c r="AE7" s="205">
        <v>300</v>
      </c>
      <c r="AF7" s="205">
        <v>300</v>
      </c>
      <c r="AG7" s="205">
        <v>300</v>
      </c>
      <c r="AH7" s="205">
        <v>300</v>
      </c>
      <c r="AI7" s="205">
        <v>300</v>
      </c>
      <c r="AJ7" s="205">
        <v>300</v>
      </c>
      <c r="AK7" s="205">
        <v>300</v>
      </c>
      <c r="AL7" s="205">
        <v>300</v>
      </c>
      <c r="AM7" s="205">
        <v>300</v>
      </c>
      <c r="AN7" s="205">
        <v>300</v>
      </c>
      <c r="AO7" s="205">
        <v>300</v>
      </c>
      <c r="AP7" s="205">
        <v>300</v>
      </c>
      <c r="AQ7" s="205">
        <v>300</v>
      </c>
      <c r="AR7" s="205">
        <v>300</v>
      </c>
      <c r="AS7" s="205">
        <v>300</v>
      </c>
      <c r="AT7" s="205">
        <v>300</v>
      </c>
      <c r="AU7" s="205">
        <v>300</v>
      </c>
      <c r="AV7" s="205">
        <v>300</v>
      </c>
      <c r="AW7" s="205">
        <v>300</v>
      </c>
      <c r="AX7" s="205">
        <v>300</v>
      </c>
      <c r="AY7" s="205">
        <v>300</v>
      </c>
      <c r="AZ7" s="205">
        <v>300</v>
      </c>
      <c r="BA7" s="205">
        <v>300</v>
      </c>
      <c r="BB7" s="205">
        <v>300</v>
      </c>
      <c r="BC7" s="205">
        <v>300</v>
      </c>
      <c r="BD7" s="205">
        <v>300</v>
      </c>
      <c r="BE7" s="205">
        <v>300</v>
      </c>
      <c r="BF7" s="205">
        <v>300</v>
      </c>
      <c r="BG7" s="205">
        <v>300</v>
      </c>
      <c r="BH7" s="205">
        <v>300</v>
      </c>
      <c r="BI7" s="205">
        <v>300</v>
      </c>
      <c r="BJ7" s="205">
        <v>300</v>
      </c>
      <c r="BK7" s="205">
        <v>300</v>
      </c>
      <c r="BL7" s="205">
        <v>300</v>
      </c>
      <c r="BM7" s="205">
        <v>300</v>
      </c>
      <c r="BN7" s="205">
        <v>300</v>
      </c>
      <c r="BO7" s="205">
        <v>300</v>
      </c>
      <c r="BP7" s="205">
        <v>300</v>
      </c>
      <c r="BQ7" s="205">
        <v>300</v>
      </c>
      <c r="BR7" s="205">
        <v>300</v>
      </c>
      <c r="BS7" s="205">
        <v>300</v>
      </c>
      <c r="BT7" s="205">
        <v>300</v>
      </c>
      <c r="BU7" s="205">
        <v>300</v>
      </c>
      <c r="BV7" s="205">
        <v>300</v>
      </c>
      <c r="BW7" s="205">
        <v>300</v>
      </c>
      <c r="BX7" s="205">
        <v>300</v>
      </c>
      <c r="BY7" s="205">
        <v>300</v>
      </c>
      <c r="BZ7" s="205">
        <v>300</v>
      </c>
      <c r="CA7" s="205">
        <v>300</v>
      </c>
      <c r="CB7" s="205">
        <v>300</v>
      </c>
      <c r="CC7" s="205">
        <v>300</v>
      </c>
      <c r="CD7" s="205">
        <v>300</v>
      </c>
      <c r="CE7" s="205">
        <v>300</v>
      </c>
      <c r="CF7" s="205">
        <v>300</v>
      </c>
      <c r="CG7" s="205">
        <v>300</v>
      </c>
      <c r="CH7" s="205">
        <v>300</v>
      </c>
      <c r="CI7" s="205">
        <v>150</v>
      </c>
      <c r="CJ7"/>
    </row>
    <row r="8" spans="1:88" s="47" customFormat="1" ht="15" customHeight="1">
      <c r="B8" s="204"/>
      <c r="C8" s="110">
        <f>SUM(D8:BA8)</f>
        <v>0</v>
      </c>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row>
    <row r="9" spans="1:88" s="47" customFormat="1" ht="15" customHeight="1">
      <c r="B9" s="204"/>
      <c r="C9" s="110">
        <f>SUM(D9:BA9)</f>
        <v>0</v>
      </c>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row>
    <row r="10" spans="1:88" s="47" customFormat="1" ht="15" customHeight="1">
      <c r="B10" s="204"/>
      <c r="C10" s="110">
        <f>SUM(D10:BA10)</f>
        <v>0</v>
      </c>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row>
    <row r="11" spans="1:88" s="47" customFormat="1" ht="15" customHeight="1">
      <c r="B11" s="204"/>
      <c r="C11" s="110">
        <f>SUM(D11:BA11)</f>
        <v>0</v>
      </c>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row>
    <row r="12" spans="1:88" s="47" customFormat="1" ht="15" customHeight="1">
      <c r="B12" s="206" t="s">
        <v>109</v>
      </c>
      <c r="C12" s="110">
        <f>SUM(D12:BA12)</f>
        <v>10950.064285714285</v>
      </c>
      <c r="D12" s="110">
        <f>SUM(D7:D11)</f>
        <v>0</v>
      </c>
      <c r="E12" s="110">
        <f>SUM(E7:E11)</f>
        <v>6.4285714285714279E-2</v>
      </c>
      <c r="F12" s="110">
        <f t="shared" ref="F12:AQ12" si="0">SUM(F7:F11)</f>
        <v>0</v>
      </c>
      <c r="G12" s="110">
        <f t="shared" si="0"/>
        <v>0</v>
      </c>
      <c r="H12" s="110">
        <f t="shared" si="0"/>
        <v>0</v>
      </c>
      <c r="I12" s="110">
        <f t="shared" si="0"/>
        <v>0</v>
      </c>
      <c r="J12" s="110">
        <f t="shared" si="0"/>
        <v>0</v>
      </c>
      <c r="K12" s="110">
        <f t="shared" si="0"/>
        <v>0</v>
      </c>
      <c r="L12" s="110">
        <f t="shared" si="0"/>
        <v>0</v>
      </c>
      <c r="M12" s="110">
        <f t="shared" si="0"/>
        <v>0</v>
      </c>
      <c r="N12" s="110">
        <f t="shared" si="0"/>
        <v>0</v>
      </c>
      <c r="O12" s="110">
        <f t="shared" si="0"/>
        <v>0</v>
      </c>
      <c r="P12" s="110">
        <f t="shared" si="0"/>
        <v>0</v>
      </c>
      <c r="Q12" s="110">
        <f t="shared" si="0"/>
        <v>150</v>
      </c>
      <c r="R12" s="110">
        <f t="shared" si="0"/>
        <v>300</v>
      </c>
      <c r="S12" s="110">
        <f t="shared" si="0"/>
        <v>300</v>
      </c>
      <c r="T12" s="110">
        <f t="shared" si="0"/>
        <v>300</v>
      </c>
      <c r="U12" s="110">
        <f t="shared" si="0"/>
        <v>300</v>
      </c>
      <c r="V12" s="110">
        <f t="shared" si="0"/>
        <v>300</v>
      </c>
      <c r="W12" s="110">
        <f t="shared" si="0"/>
        <v>300</v>
      </c>
      <c r="X12" s="110">
        <f t="shared" si="0"/>
        <v>300</v>
      </c>
      <c r="Y12" s="110">
        <f t="shared" si="0"/>
        <v>300</v>
      </c>
      <c r="Z12" s="110">
        <f t="shared" si="0"/>
        <v>300</v>
      </c>
      <c r="AA12" s="110">
        <f t="shared" si="0"/>
        <v>300</v>
      </c>
      <c r="AB12" s="110">
        <f t="shared" si="0"/>
        <v>300</v>
      </c>
      <c r="AC12" s="110">
        <f t="shared" si="0"/>
        <v>300</v>
      </c>
      <c r="AD12" s="110">
        <f t="shared" si="0"/>
        <v>300</v>
      </c>
      <c r="AE12" s="110">
        <f t="shared" si="0"/>
        <v>300</v>
      </c>
      <c r="AF12" s="110">
        <f t="shared" si="0"/>
        <v>300</v>
      </c>
      <c r="AG12" s="110">
        <f t="shared" si="0"/>
        <v>300</v>
      </c>
      <c r="AH12" s="110">
        <f t="shared" si="0"/>
        <v>300</v>
      </c>
      <c r="AI12" s="110">
        <f t="shared" si="0"/>
        <v>300</v>
      </c>
      <c r="AJ12" s="110">
        <f t="shared" si="0"/>
        <v>300</v>
      </c>
      <c r="AK12" s="110">
        <f t="shared" si="0"/>
        <v>300</v>
      </c>
      <c r="AL12" s="110">
        <f t="shared" si="0"/>
        <v>300</v>
      </c>
      <c r="AM12" s="110">
        <f t="shared" si="0"/>
        <v>300</v>
      </c>
      <c r="AN12" s="110">
        <f t="shared" si="0"/>
        <v>300</v>
      </c>
      <c r="AO12" s="110">
        <f t="shared" si="0"/>
        <v>300</v>
      </c>
      <c r="AP12" s="110">
        <f t="shared" si="0"/>
        <v>300</v>
      </c>
      <c r="AQ12" s="110">
        <f t="shared" si="0"/>
        <v>300</v>
      </c>
      <c r="AR12" s="110">
        <f t="shared" ref="AR12:BA12" si="1">SUM(AR7:AR11)</f>
        <v>300</v>
      </c>
      <c r="AS12" s="110">
        <f t="shared" si="1"/>
        <v>300</v>
      </c>
      <c r="AT12" s="110">
        <f t="shared" si="1"/>
        <v>300</v>
      </c>
      <c r="AU12" s="110">
        <f t="shared" si="1"/>
        <v>300</v>
      </c>
      <c r="AV12" s="110">
        <f t="shared" si="1"/>
        <v>300</v>
      </c>
      <c r="AW12" s="110">
        <f t="shared" si="1"/>
        <v>300</v>
      </c>
      <c r="AX12" s="110">
        <f t="shared" si="1"/>
        <v>300</v>
      </c>
      <c r="AY12" s="110">
        <f t="shared" si="1"/>
        <v>300</v>
      </c>
      <c r="AZ12" s="110">
        <f t="shared" si="1"/>
        <v>300</v>
      </c>
      <c r="BA12" s="110">
        <f t="shared" si="1"/>
        <v>300</v>
      </c>
      <c r="BB12" s="110">
        <f t="shared" ref="BB12:CI12" si="2">SUM(BB7:BB11)</f>
        <v>300</v>
      </c>
      <c r="BC12" s="110">
        <f t="shared" si="2"/>
        <v>300</v>
      </c>
      <c r="BD12" s="110">
        <f t="shared" si="2"/>
        <v>300</v>
      </c>
      <c r="BE12" s="110">
        <f t="shared" si="2"/>
        <v>300</v>
      </c>
      <c r="BF12" s="110">
        <f t="shared" si="2"/>
        <v>300</v>
      </c>
      <c r="BG12" s="110">
        <f t="shared" si="2"/>
        <v>300</v>
      </c>
      <c r="BH12" s="110">
        <f t="shared" si="2"/>
        <v>300</v>
      </c>
      <c r="BI12" s="110">
        <f t="shared" si="2"/>
        <v>300</v>
      </c>
      <c r="BJ12" s="110">
        <f t="shared" si="2"/>
        <v>300</v>
      </c>
      <c r="BK12" s="110">
        <f t="shared" si="2"/>
        <v>300</v>
      </c>
      <c r="BL12" s="110">
        <f t="shared" si="2"/>
        <v>300</v>
      </c>
      <c r="BM12" s="110">
        <f t="shared" si="2"/>
        <v>300</v>
      </c>
      <c r="BN12" s="110">
        <f t="shared" si="2"/>
        <v>300</v>
      </c>
      <c r="BO12" s="110">
        <f t="shared" si="2"/>
        <v>300</v>
      </c>
      <c r="BP12" s="110">
        <f t="shared" si="2"/>
        <v>300</v>
      </c>
      <c r="BQ12" s="110">
        <f t="shared" si="2"/>
        <v>300</v>
      </c>
      <c r="BR12" s="110">
        <f t="shared" si="2"/>
        <v>300</v>
      </c>
      <c r="BS12" s="110">
        <f t="shared" si="2"/>
        <v>300</v>
      </c>
      <c r="BT12" s="110">
        <f t="shared" si="2"/>
        <v>300</v>
      </c>
      <c r="BU12" s="110">
        <f t="shared" si="2"/>
        <v>300</v>
      </c>
      <c r="BV12" s="110">
        <f t="shared" si="2"/>
        <v>300</v>
      </c>
      <c r="BW12" s="110">
        <f t="shared" si="2"/>
        <v>300</v>
      </c>
      <c r="BX12" s="110">
        <f t="shared" si="2"/>
        <v>300</v>
      </c>
      <c r="BY12" s="110">
        <f t="shared" si="2"/>
        <v>300</v>
      </c>
      <c r="BZ12" s="110">
        <f t="shared" si="2"/>
        <v>300</v>
      </c>
      <c r="CA12" s="110">
        <f t="shared" si="2"/>
        <v>300</v>
      </c>
      <c r="CB12" s="110">
        <f t="shared" si="2"/>
        <v>300</v>
      </c>
      <c r="CC12" s="110">
        <f t="shared" si="2"/>
        <v>300</v>
      </c>
      <c r="CD12" s="110">
        <f t="shared" si="2"/>
        <v>300</v>
      </c>
      <c r="CE12" s="110">
        <f t="shared" si="2"/>
        <v>300</v>
      </c>
      <c r="CF12" s="110">
        <f t="shared" si="2"/>
        <v>300</v>
      </c>
      <c r="CG12" s="110">
        <f t="shared" si="2"/>
        <v>300</v>
      </c>
      <c r="CH12" s="110">
        <f t="shared" si="2"/>
        <v>300</v>
      </c>
      <c r="CI12" s="110">
        <f t="shared" si="2"/>
        <v>150</v>
      </c>
    </row>
    <row r="13" spans="1:88" s="59" customFormat="1" ht="15" customHeight="1">
      <c r="B13" s="207" t="s">
        <v>106</v>
      </c>
      <c r="C13" s="76"/>
      <c r="D13" s="208">
        <f>D12</f>
        <v>0</v>
      </c>
      <c r="E13" s="208">
        <f>D13+E12</f>
        <v>6.4285714285714279E-2</v>
      </c>
      <c r="F13" s="208">
        <f t="shared" ref="F13:AQ13" si="3">E13+F12</f>
        <v>6.4285714285714279E-2</v>
      </c>
      <c r="G13" s="208">
        <f t="shared" si="3"/>
        <v>6.4285714285714279E-2</v>
      </c>
      <c r="H13" s="208">
        <f t="shared" si="3"/>
        <v>6.4285714285714279E-2</v>
      </c>
      <c r="I13" s="208">
        <f t="shared" si="3"/>
        <v>6.4285714285714279E-2</v>
      </c>
      <c r="J13" s="208">
        <f t="shared" si="3"/>
        <v>6.4285714285714279E-2</v>
      </c>
      <c r="K13" s="208">
        <f t="shared" si="3"/>
        <v>6.4285714285714279E-2</v>
      </c>
      <c r="L13" s="208">
        <f t="shared" si="3"/>
        <v>6.4285714285714279E-2</v>
      </c>
      <c r="M13" s="208">
        <f t="shared" si="3"/>
        <v>6.4285714285714279E-2</v>
      </c>
      <c r="N13" s="208">
        <f t="shared" si="3"/>
        <v>6.4285714285714279E-2</v>
      </c>
      <c r="O13" s="208">
        <f t="shared" si="3"/>
        <v>6.4285714285714279E-2</v>
      </c>
      <c r="P13" s="208">
        <f t="shared" si="3"/>
        <v>6.4285714285714279E-2</v>
      </c>
      <c r="Q13" s="208">
        <f t="shared" si="3"/>
        <v>150.06428571428572</v>
      </c>
      <c r="R13" s="208">
        <f t="shared" si="3"/>
        <v>450.06428571428569</v>
      </c>
      <c r="S13" s="208">
        <f t="shared" si="3"/>
        <v>750.06428571428569</v>
      </c>
      <c r="T13" s="208">
        <f t="shared" si="3"/>
        <v>1050.0642857142857</v>
      </c>
      <c r="U13" s="208">
        <f t="shared" si="3"/>
        <v>1350.0642857142857</v>
      </c>
      <c r="V13" s="208">
        <f t="shared" si="3"/>
        <v>1650.0642857142857</v>
      </c>
      <c r="W13" s="208">
        <f t="shared" si="3"/>
        <v>1950.0642857142857</v>
      </c>
      <c r="X13" s="208">
        <f t="shared" si="3"/>
        <v>2250.0642857142857</v>
      </c>
      <c r="Y13" s="208">
        <f t="shared" si="3"/>
        <v>2550.0642857142857</v>
      </c>
      <c r="Z13" s="208">
        <f t="shared" si="3"/>
        <v>2850.0642857142857</v>
      </c>
      <c r="AA13" s="208">
        <f t="shared" si="3"/>
        <v>3150.0642857142857</v>
      </c>
      <c r="AB13" s="208">
        <f t="shared" si="3"/>
        <v>3450.0642857142857</v>
      </c>
      <c r="AC13" s="208">
        <f t="shared" si="3"/>
        <v>3750.0642857142857</v>
      </c>
      <c r="AD13" s="208">
        <f t="shared" si="3"/>
        <v>4050.0642857142857</v>
      </c>
      <c r="AE13" s="208">
        <f t="shared" si="3"/>
        <v>4350.0642857142857</v>
      </c>
      <c r="AF13" s="208">
        <f t="shared" si="3"/>
        <v>4650.0642857142857</v>
      </c>
      <c r="AG13" s="208">
        <f t="shared" si="3"/>
        <v>4950.0642857142857</v>
      </c>
      <c r="AH13" s="208">
        <f t="shared" si="3"/>
        <v>5250.0642857142857</v>
      </c>
      <c r="AI13" s="208">
        <f t="shared" si="3"/>
        <v>5550.0642857142857</v>
      </c>
      <c r="AJ13" s="208">
        <f t="shared" si="3"/>
        <v>5850.0642857142857</v>
      </c>
      <c r="AK13" s="208">
        <f t="shared" si="3"/>
        <v>6150.0642857142857</v>
      </c>
      <c r="AL13" s="208">
        <f t="shared" si="3"/>
        <v>6450.0642857142857</v>
      </c>
      <c r="AM13" s="208">
        <f t="shared" si="3"/>
        <v>6750.0642857142857</v>
      </c>
      <c r="AN13" s="208">
        <f t="shared" si="3"/>
        <v>7050.0642857142857</v>
      </c>
      <c r="AO13" s="208">
        <f t="shared" si="3"/>
        <v>7350.0642857142857</v>
      </c>
      <c r="AP13" s="208">
        <f t="shared" si="3"/>
        <v>7650.0642857142857</v>
      </c>
      <c r="AQ13" s="208">
        <f t="shared" si="3"/>
        <v>7950.0642857142857</v>
      </c>
      <c r="AR13" s="208">
        <f t="shared" ref="AR13:CI13" si="4">AQ13+AR12</f>
        <v>8250.0642857142848</v>
      </c>
      <c r="AS13" s="208">
        <f t="shared" si="4"/>
        <v>8550.0642857142848</v>
      </c>
      <c r="AT13" s="208">
        <f t="shared" si="4"/>
        <v>8850.0642857142848</v>
      </c>
      <c r="AU13" s="208">
        <f t="shared" si="4"/>
        <v>9150.0642857142848</v>
      </c>
      <c r="AV13" s="208">
        <f t="shared" si="4"/>
        <v>9450.0642857142848</v>
      </c>
      <c r="AW13" s="208">
        <f t="shared" si="4"/>
        <v>9750.0642857142848</v>
      </c>
      <c r="AX13" s="208">
        <f t="shared" si="4"/>
        <v>10050.064285714285</v>
      </c>
      <c r="AY13" s="208">
        <f t="shared" si="4"/>
        <v>10350.064285714285</v>
      </c>
      <c r="AZ13" s="208">
        <f t="shared" si="4"/>
        <v>10650.064285714285</v>
      </c>
      <c r="BA13" s="208">
        <f t="shared" si="4"/>
        <v>10950.064285714285</v>
      </c>
      <c r="BB13" s="208">
        <f t="shared" si="4"/>
        <v>11250.064285714285</v>
      </c>
      <c r="BC13" s="208">
        <f t="shared" si="4"/>
        <v>11550.064285714285</v>
      </c>
      <c r="BD13" s="208">
        <f t="shared" si="4"/>
        <v>11850.064285714285</v>
      </c>
      <c r="BE13" s="208">
        <f t="shared" si="4"/>
        <v>12150.064285714285</v>
      </c>
      <c r="BF13" s="208">
        <f t="shared" si="4"/>
        <v>12450.064285714285</v>
      </c>
      <c r="BG13" s="208">
        <f t="shared" si="4"/>
        <v>12750.064285714285</v>
      </c>
      <c r="BH13" s="208">
        <f t="shared" si="4"/>
        <v>13050.064285714285</v>
      </c>
      <c r="BI13" s="208">
        <f t="shared" si="4"/>
        <v>13350.064285714285</v>
      </c>
      <c r="BJ13" s="208">
        <f t="shared" si="4"/>
        <v>13650.064285714285</v>
      </c>
      <c r="BK13" s="208">
        <f t="shared" si="4"/>
        <v>13950.064285714285</v>
      </c>
      <c r="BL13" s="208">
        <f t="shared" si="4"/>
        <v>14250.064285714285</v>
      </c>
      <c r="BM13" s="208">
        <f t="shared" si="4"/>
        <v>14550.064285714285</v>
      </c>
      <c r="BN13" s="208">
        <f t="shared" si="4"/>
        <v>14850.064285714285</v>
      </c>
      <c r="BO13" s="208">
        <f t="shared" si="4"/>
        <v>15150.064285714285</v>
      </c>
      <c r="BP13" s="208">
        <f t="shared" si="4"/>
        <v>15450.064285714285</v>
      </c>
      <c r="BQ13" s="208">
        <f t="shared" si="4"/>
        <v>15750.064285714285</v>
      </c>
      <c r="BR13" s="208">
        <f t="shared" si="4"/>
        <v>16050.064285714285</v>
      </c>
      <c r="BS13" s="208">
        <f t="shared" si="4"/>
        <v>16350.064285714285</v>
      </c>
      <c r="BT13" s="208">
        <f t="shared" si="4"/>
        <v>16650.064285714285</v>
      </c>
      <c r="BU13" s="208">
        <f t="shared" si="4"/>
        <v>16950.064285714285</v>
      </c>
      <c r="BV13" s="208">
        <f t="shared" si="4"/>
        <v>17250.064285714285</v>
      </c>
      <c r="BW13" s="208">
        <f t="shared" si="4"/>
        <v>17550.064285714285</v>
      </c>
      <c r="BX13" s="208">
        <f t="shared" si="4"/>
        <v>17850.064285714285</v>
      </c>
      <c r="BY13" s="208">
        <f t="shared" si="4"/>
        <v>18150.064285714285</v>
      </c>
      <c r="BZ13" s="208">
        <f t="shared" si="4"/>
        <v>18450.064285714285</v>
      </c>
      <c r="CA13" s="208">
        <f t="shared" si="4"/>
        <v>18750.064285714285</v>
      </c>
      <c r="CB13" s="208">
        <f t="shared" si="4"/>
        <v>19050.064285714285</v>
      </c>
      <c r="CC13" s="208">
        <f t="shared" si="4"/>
        <v>19350.064285714285</v>
      </c>
      <c r="CD13" s="208">
        <f t="shared" si="4"/>
        <v>19650.064285714285</v>
      </c>
      <c r="CE13" s="208">
        <f t="shared" si="4"/>
        <v>19950.064285714285</v>
      </c>
      <c r="CF13" s="208">
        <f t="shared" si="4"/>
        <v>20250.064285714285</v>
      </c>
      <c r="CG13" s="208">
        <f t="shared" si="4"/>
        <v>20550.064285714285</v>
      </c>
      <c r="CH13" s="208">
        <f t="shared" si="4"/>
        <v>20850.064285714285</v>
      </c>
      <c r="CI13" s="208">
        <f t="shared" si="4"/>
        <v>21000.064285714285</v>
      </c>
    </row>
    <row r="14" spans="1:88" s="47" customFormat="1" ht="15" customHeight="1"/>
    <row r="15" spans="1:88" ht="15" customHeight="1">
      <c r="B15" s="186"/>
    </row>
    <row r="16" spans="1:88" s="1" customFormat="1" ht="15" customHeight="1">
      <c r="B16" s="173" t="s">
        <v>102</v>
      </c>
      <c r="C16" s="58"/>
      <c r="D16" s="68" t="s">
        <v>55</v>
      </c>
      <c r="E16" s="69"/>
      <c r="F16" s="69"/>
      <c r="G16" s="69"/>
      <c r="H16" s="70"/>
      <c r="I16" s="71" t="s">
        <v>56</v>
      </c>
      <c r="J16" s="72"/>
      <c r="K16" s="72"/>
      <c r="L16" s="72"/>
      <c r="M16" s="73"/>
      <c r="N16" s="74" t="s">
        <v>57</v>
      </c>
      <c r="O16" s="69"/>
      <c r="P16" s="69"/>
      <c r="Q16" s="63">
        <v>2029</v>
      </c>
      <c r="R16" s="63">
        <v>2030</v>
      </c>
      <c r="S16" s="63">
        <v>2031</v>
      </c>
      <c r="T16" s="63">
        <v>2032</v>
      </c>
      <c r="U16" s="63">
        <v>2033</v>
      </c>
      <c r="V16" s="63">
        <v>2034</v>
      </c>
      <c r="W16" s="63">
        <v>2035</v>
      </c>
      <c r="X16" s="63">
        <v>2036</v>
      </c>
      <c r="Y16" s="63">
        <v>2037</v>
      </c>
      <c r="Z16" s="63">
        <v>2038</v>
      </c>
      <c r="AA16" s="63">
        <v>2039</v>
      </c>
      <c r="AB16" s="63">
        <v>2040</v>
      </c>
      <c r="AC16" s="63">
        <v>2041</v>
      </c>
      <c r="AD16" s="63">
        <v>2042</v>
      </c>
      <c r="AE16" s="63">
        <v>2043</v>
      </c>
      <c r="AF16" s="63">
        <v>2044</v>
      </c>
      <c r="AG16" s="63">
        <v>2045</v>
      </c>
      <c r="AH16" s="63">
        <v>2046</v>
      </c>
      <c r="AI16" s="63">
        <v>2047</v>
      </c>
      <c r="AJ16" s="63">
        <v>2048</v>
      </c>
      <c r="AK16" s="63">
        <v>2049</v>
      </c>
      <c r="AL16" s="63">
        <v>2050</v>
      </c>
      <c r="AM16" s="63">
        <v>2051</v>
      </c>
      <c r="AN16" s="63">
        <v>2052</v>
      </c>
      <c r="AO16" s="63">
        <v>2053</v>
      </c>
      <c r="AP16" s="63">
        <v>2054</v>
      </c>
      <c r="AQ16" s="63">
        <v>2055</v>
      </c>
      <c r="AR16" s="63">
        <v>2056</v>
      </c>
      <c r="AS16" s="63">
        <v>2057</v>
      </c>
      <c r="AT16" s="63">
        <v>2058</v>
      </c>
      <c r="AU16" s="63">
        <v>2059</v>
      </c>
      <c r="AV16" s="63">
        <v>2060</v>
      </c>
      <c r="AW16" s="63">
        <v>2061</v>
      </c>
      <c r="AX16" s="63">
        <v>2062</v>
      </c>
      <c r="AY16" s="63">
        <v>2063</v>
      </c>
      <c r="AZ16" s="63">
        <v>2064</v>
      </c>
      <c r="BA16" s="63">
        <v>2065</v>
      </c>
      <c r="BB16" s="63">
        <v>2066</v>
      </c>
      <c r="BC16" s="63">
        <v>2067</v>
      </c>
      <c r="BD16" s="63">
        <v>2068</v>
      </c>
      <c r="BE16" s="63">
        <v>2069</v>
      </c>
      <c r="BF16" s="63">
        <v>2070</v>
      </c>
      <c r="BG16" s="63">
        <v>2071</v>
      </c>
      <c r="BH16" s="63">
        <v>2072</v>
      </c>
      <c r="BI16" s="63">
        <v>2073</v>
      </c>
      <c r="BJ16" s="63">
        <v>2074</v>
      </c>
      <c r="BK16" s="63">
        <v>2075</v>
      </c>
      <c r="BL16" s="63">
        <v>2076</v>
      </c>
      <c r="BM16" s="63">
        <v>2077</v>
      </c>
      <c r="BN16" s="63">
        <v>2078</v>
      </c>
      <c r="BO16" s="63">
        <v>2079</v>
      </c>
      <c r="BP16" s="63">
        <v>2080</v>
      </c>
      <c r="BQ16" s="63">
        <v>2081</v>
      </c>
      <c r="BR16" s="63">
        <v>2082</v>
      </c>
      <c r="BS16" s="63">
        <v>2083</v>
      </c>
      <c r="BT16" s="63">
        <v>2084</v>
      </c>
      <c r="BU16" s="63">
        <v>2085</v>
      </c>
      <c r="BV16" s="63">
        <v>2086</v>
      </c>
      <c r="BW16" s="63">
        <v>2087</v>
      </c>
      <c r="BX16" s="63">
        <v>2088</v>
      </c>
      <c r="BY16" s="63">
        <v>2089</v>
      </c>
      <c r="BZ16" s="63">
        <v>2090</v>
      </c>
      <c r="CA16" s="63">
        <v>2091</v>
      </c>
      <c r="CB16" s="63">
        <v>2092</v>
      </c>
      <c r="CC16" s="63">
        <v>2093</v>
      </c>
      <c r="CD16" s="63">
        <v>2094</v>
      </c>
      <c r="CE16" s="63">
        <v>2095</v>
      </c>
      <c r="CF16" s="63">
        <v>2096</v>
      </c>
      <c r="CG16" s="63">
        <v>2097</v>
      </c>
      <c r="CH16" s="63">
        <v>2098</v>
      </c>
      <c r="CI16" s="63">
        <v>2099</v>
      </c>
    </row>
    <row r="17" spans="1:88" s="5" customFormat="1" ht="15" customHeight="1">
      <c r="B17" s="43" t="s">
        <v>105</v>
      </c>
      <c r="C17" s="53" t="s">
        <v>4</v>
      </c>
      <c r="D17" s="65" t="s">
        <v>5</v>
      </c>
      <c r="E17" s="65" t="s">
        <v>6</v>
      </c>
      <c r="F17" s="65" t="s">
        <v>7</v>
      </c>
      <c r="G17" s="65" t="s">
        <v>8</v>
      </c>
      <c r="H17" s="65" t="s">
        <v>9</v>
      </c>
      <c r="I17" s="65" t="s">
        <v>10</v>
      </c>
      <c r="J17" s="65" t="s">
        <v>11</v>
      </c>
      <c r="K17" s="65" t="s">
        <v>12</v>
      </c>
      <c r="L17" s="65" t="s">
        <v>13</v>
      </c>
      <c r="M17" s="65" t="s">
        <v>14</v>
      </c>
      <c r="N17" s="65" t="s">
        <v>15</v>
      </c>
      <c r="O17" s="65" t="s">
        <v>16</v>
      </c>
      <c r="P17" s="65" t="s">
        <v>17</v>
      </c>
      <c r="Q17" s="65" t="s">
        <v>18</v>
      </c>
      <c r="R17" s="65" t="s">
        <v>19</v>
      </c>
      <c r="S17" s="66" t="s">
        <v>20</v>
      </c>
      <c r="T17" s="65" t="s">
        <v>21</v>
      </c>
      <c r="U17" s="65" t="s">
        <v>22</v>
      </c>
      <c r="V17" s="65" t="s">
        <v>23</v>
      </c>
      <c r="W17" s="67" t="s">
        <v>24</v>
      </c>
      <c r="X17" s="65" t="s">
        <v>25</v>
      </c>
      <c r="Y17" s="65" t="s">
        <v>26</v>
      </c>
      <c r="Z17" s="65" t="s">
        <v>27</v>
      </c>
      <c r="AA17" s="65" t="s">
        <v>28</v>
      </c>
      <c r="AB17" s="65" t="s">
        <v>29</v>
      </c>
      <c r="AC17" s="66" t="s">
        <v>30</v>
      </c>
      <c r="AD17" s="65" t="s">
        <v>31</v>
      </c>
      <c r="AE17" s="65" t="s">
        <v>32</v>
      </c>
      <c r="AF17" s="65" t="s">
        <v>33</v>
      </c>
      <c r="AG17" s="65" t="s">
        <v>34</v>
      </c>
      <c r="AH17" s="65" t="s">
        <v>35</v>
      </c>
      <c r="AI17" s="65" t="s">
        <v>36</v>
      </c>
      <c r="AJ17" s="65" t="s">
        <v>37</v>
      </c>
      <c r="AK17" s="65" t="s">
        <v>38</v>
      </c>
      <c r="AL17" s="65" t="s">
        <v>39</v>
      </c>
      <c r="AM17" s="65" t="s">
        <v>40</v>
      </c>
      <c r="AN17" s="65" t="s">
        <v>41</v>
      </c>
      <c r="AO17" s="65" t="s">
        <v>42</v>
      </c>
      <c r="AP17" s="65" t="s">
        <v>43</v>
      </c>
      <c r="AQ17" s="65" t="s">
        <v>53</v>
      </c>
      <c r="AR17" s="65" t="s">
        <v>331</v>
      </c>
      <c r="AS17" s="65" t="s">
        <v>332</v>
      </c>
      <c r="AT17" s="65" t="s">
        <v>333</v>
      </c>
      <c r="AU17" s="65" t="s">
        <v>334</v>
      </c>
      <c r="AV17" s="65" t="s">
        <v>335</v>
      </c>
      <c r="AW17" s="65" t="s">
        <v>336</v>
      </c>
      <c r="AX17" s="65" t="s">
        <v>337</v>
      </c>
      <c r="AY17" s="65" t="s">
        <v>338</v>
      </c>
      <c r="AZ17" s="65" t="s">
        <v>339</v>
      </c>
      <c r="BA17" s="65" t="s">
        <v>340</v>
      </c>
      <c r="BB17" s="65" t="s">
        <v>478</v>
      </c>
      <c r="BC17" s="65" t="s">
        <v>479</v>
      </c>
      <c r="BD17" s="65" t="s">
        <v>480</v>
      </c>
      <c r="BE17" s="65" t="s">
        <v>481</v>
      </c>
      <c r="BF17" s="65" t="s">
        <v>482</v>
      </c>
      <c r="BG17" s="65" t="s">
        <v>483</v>
      </c>
      <c r="BH17" s="65" t="s">
        <v>484</v>
      </c>
      <c r="BI17" s="65" t="s">
        <v>485</v>
      </c>
      <c r="BJ17" s="65" t="s">
        <v>486</v>
      </c>
      <c r="BK17" s="65" t="s">
        <v>487</v>
      </c>
      <c r="BL17" s="65" t="s">
        <v>488</v>
      </c>
      <c r="BM17" s="65" t="s">
        <v>489</v>
      </c>
      <c r="BN17" s="65" t="s">
        <v>490</v>
      </c>
      <c r="BO17" s="65" t="s">
        <v>491</v>
      </c>
      <c r="BP17" s="65" t="s">
        <v>492</v>
      </c>
      <c r="BQ17" s="65" t="s">
        <v>493</v>
      </c>
      <c r="BR17" s="65" t="s">
        <v>494</v>
      </c>
      <c r="BS17" s="65" t="s">
        <v>495</v>
      </c>
      <c r="BT17" s="65" t="s">
        <v>496</v>
      </c>
      <c r="BU17" s="65" t="s">
        <v>497</v>
      </c>
      <c r="BV17" s="65" t="s">
        <v>498</v>
      </c>
      <c r="BW17" s="65" t="s">
        <v>499</v>
      </c>
      <c r="BX17" s="65" t="s">
        <v>500</v>
      </c>
      <c r="BY17" s="65" t="s">
        <v>501</v>
      </c>
      <c r="BZ17" s="65" t="s">
        <v>502</v>
      </c>
      <c r="CA17" s="65" t="s">
        <v>503</v>
      </c>
      <c r="CB17" s="65" t="s">
        <v>504</v>
      </c>
      <c r="CC17" s="65" t="s">
        <v>505</v>
      </c>
      <c r="CD17" s="65" t="s">
        <v>506</v>
      </c>
      <c r="CE17" s="65" t="s">
        <v>507</v>
      </c>
      <c r="CF17" s="65" t="s">
        <v>508</v>
      </c>
      <c r="CG17" s="65" t="s">
        <v>509</v>
      </c>
      <c r="CH17" s="65" t="s">
        <v>514</v>
      </c>
      <c r="CI17" s="65" t="s">
        <v>515</v>
      </c>
    </row>
    <row r="18" spans="1:88" s="47" customFormat="1" ht="15" customHeight="1">
      <c r="B18" s="204" t="s">
        <v>3</v>
      </c>
      <c r="C18" s="264">
        <v>52000</v>
      </c>
      <c r="D18" s="205"/>
      <c r="E18" s="205"/>
      <c r="F18" s="205"/>
      <c r="G18" s="205"/>
      <c r="H18" s="205"/>
      <c r="I18" s="205"/>
      <c r="J18" s="205"/>
      <c r="K18" s="205"/>
      <c r="L18" s="205"/>
      <c r="M18" s="205"/>
      <c r="N18" s="205"/>
      <c r="O18" s="205"/>
      <c r="P18" s="205"/>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f>CH$21*'1. Landuse'!$K18/'1. Landuse'!$K$21</f>
        <v>0</v>
      </c>
      <c r="CI18" s="211">
        <f>CI$21*'1. Landuse'!$K18/'1. Landuse'!$K$21</f>
        <v>0</v>
      </c>
    </row>
    <row r="19" spans="1:88" s="47" customFormat="1" ht="15" customHeight="1">
      <c r="B19" s="204" t="s">
        <v>2</v>
      </c>
      <c r="C19" s="264">
        <v>130000</v>
      </c>
      <c r="D19" s="205"/>
      <c r="E19" s="205"/>
      <c r="F19" s="205"/>
      <c r="G19" s="205"/>
      <c r="H19" s="205"/>
      <c r="I19" s="205"/>
      <c r="J19" s="205"/>
      <c r="K19" s="205"/>
      <c r="L19" s="205"/>
      <c r="M19" s="205"/>
      <c r="N19" s="205"/>
      <c r="O19" s="205"/>
      <c r="P19" s="205"/>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f>CH$21*'1. Landuse'!$K19/'1. Landuse'!$K$21</f>
        <v>0</v>
      </c>
      <c r="CI19" s="211">
        <f>CI$21*'1. Landuse'!$K19/'1. Landuse'!$K$21</f>
        <v>0</v>
      </c>
    </row>
    <row r="20" spans="1:88" s="47" customFormat="1" ht="15" customHeight="1">
      <c r="B20" s="204" t="s">
        <v>75</v>
      </c>
      <c r="C20" s="264">
        <v>182000</v>
      </c>
      <c r="D20" s="205"/>
      <c r="E20" s="205"/>
      <c r="F20" s="205"/>
      <c r="G20" s="205"/>
      <c r="H20" s="205"/>
      <c r="I20" s="205"/>
      <c r="J20" s="205"/>
      <c r="K20" s="205"/>
      <c r="L20" s="205"/>
      <c r="M20" s="205"/>
      <c r="N20" s="205"/>
      <c r="O20" s="205"/>
      <c r="P20" s="205"/>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f>CH$21*'1. Landuse'!$K20/'1. Landuse'!$K$21</f>
        <v>0</v>
      </c>
      <c r="CI20" s="211">
        <f>CI$21*'1. Landuse'!$K20/'1. Landuse'!$K$21</f>
        <v>0</v>
      </c>
    </row>
    <row r="21" spans="1:88" s="47" customFormat="1" ht="15" customHeight="1">
      <c r="B21" s="206" t="s">
        <v>4</v>
      </c>
      <c r="C21" s="110">
        <f>SUM(D21:BA21)</f>
        <v>211500</v>
      </c>
      <c r="D21" s="210">
        <f>SUM(D18:D20)</f>
        <v>0</v>
      </c>
      <c r="E21" s="210">
        <f>SUM(E18:E20)</f>
        <v>0</v>
      </c>
      <c r="F21" s="210">
        <f t="shared" ref="F21:P21" si="5">SUM(F18:F20)</f>
        <v>0</v>
      </c>
      <c r="G21" s="210">
        <f t="shared" si="5"/>
        <v>0</v>
      </c>
      <c r="H21" s="210">
        <f t="shared" si="5"/>
        <v>0</v>
      </c>
      <c r="I21" s="210">
        <f t="shared" si="5"/>
        <v>0</v>
      </c>
      <c r="J21" s="210">
        <f t="shared" si="5"/>
        <v>0</v>
      </c>
      <c r="K21" s="210">
        <f t="shared" si="5"/>
        <v>0</v>
      </c>
      <c r="L21" s="210">
        <f t="shared" si="5"/>
        <v>0</v>
      </c>
      <c r="M21" s="210">
        <f t="shared" si="5"/>
        <v>0</v>
      </c>
      <c r="N21" s="210">
        <f t="shared" si="5"/>
        <v>0</v>
      </c>
      <c r="O21" s="210">
        <f t="shared" si="5"/>
        <v>0</v>
      </c>
      <c r="P21" s="210">
        <f t="shared" si="5"/>
        <v>0</v>
      </c>
      <c r="Q21" s="210">
        <v>7000</v>
      </c>
      <c r="R21" s="210">
        <f>R23-Q23</f>
        <v>4500</v>
      </c>
      <c r="S21" s="210">
        <f t="shared" ref="S21:CD21" si="6">S23-R23</f>
        <v>4500</v>
      </c>
      <c r="T21" s="210">
        <f t="shared" si="6"/>
        <v>4500</v>
      </c>
      <c r="U21" s="210">
        <f t="shared" si="6"/>
        <v>7000</v>
      </c>
      <c r="V21" s="210">
        <f t="shared" si="6"/>
        <v>4500</v>
      </c>
      <c r="W21" s="210">
        <f t="shared" si="6"/>
        <v>4500</v>
      </c>
      <c r="X21" s="210">
        <f t="shared" si="6"/>
        <v>4500</v>
      </c>
      <c r="Y21" s="210">
        <f t="shared" si="6"/>
        <v>17000</v>
      </c>
      <c r="Z21" s="210">
        <f t="shared" si="6"/>
        <v>4500</v>
      </c>
      <c r="AA21" s="210">
        <f t="shared" si="6"/>
        <v>4500</v>
      </c>
      <c r="AB21" s="210">
        <f t="shared" si="6"/>
        <v>4500</v>
      </c>
      <c r="AC21" s="210">
        <f t="shared" si="6"/>
        <v>7000</v>
      </c>
      <c r="AD21" s="210">
        <f t="shared" si="6"/>
        <v>4500</v>
      </c>
      <c r="AE21" s="210">
        <f t="shared" si="6"/>
        <v>4500</v>
      </c>
      <c r="AF21" s="210">
        <f t="shared" si="6"/>
        <v>4500</v>
      </c>
      <c r="AG21" s="210">
        <f t="shared" si="6"/>
        <v>7000</v>
      </c>
      <c r="AH21" s="210">
        <f t="shared" si="6"/>
        <v>4500</v>
      </c>
      <c r="AI21" s="210">
        <f t="shared" si="6"/>
        <v>4500</v>
      </c>
      <c r="AJ21" s="210">
        <f t="shared" si="6"/>
        <v>4500</v>
      </c>
      <c r="AK21" s="210">
        <f t="shared" si="6"/>
        <v>7000</v>
      </c>
      <c r="AL21" s="210">
        <f t="shared" si="6"/>
        <v>4500</v>
      </c>
      <c r="AM21" s="210">
        <f t="shared" si="6"/>
        <v>4500</v>
      </c>
      <c r="AN21" s="210">
        <f t="shared" si="6"/>
        <v>4500</v>
      </c>
      <c r="AO21" s="210">
        <f t="shared" si="6"/>
        <v>17000</v>
      </c>
      <c r="AP21" s="210">
        <f t="shared" si="6"/>
        <v>4500</v>
      </c>
      <c r="AQ21" s="210">
        <f t="shared" si="6"/>
        <v>4500</v>
      </c>
      <c r="AR21" s="210">
        <f t="shared" si="6"/>
        <v>4500</v>
      </c>
      <c r="AS21" s="210">
        <f t="shared" si="6"/>
        <v>7000</v>
      </c>
      <c r="AT21" s="210">
        <f t="shared" si="6"/>
        <v>4500</v>
      </c>
      <c r="AU21" s="210">
        <f t="shared" si="6"/>
        <v>4500</v>
      </c>
      <c r="AV21" s="210">
        <f t="shared" si="6"/>
        <v>4500</v>
      </c>
      <c r="AW21" s="210">
        <f t="shared" si="6"/>
        <v>7000</v>
      </c>
      <c r="AX21" s="210">
        <f t="shared" si="6"/>
        <v>5500</v>
      </c>
      <c r="AY21" s="210">
        <f t="shared" si="6"/>
        <v>3500</v>
      </c>
      <c r="AZ21" s="210">
        <f t="shared" si="6"/>
        <v>4500</v>
      </c>
      <c r="BA21" s="210">
        <f t="shared" si="6"/>
        <v>7000</v>
      </c>
      <c r="BB21" s="210">
        <f t="shared" si="6"/>
        <v>4500</v>
      </c>
      <c r="BC21" s="210">
        <f t="shared" si="6"/>
        <v>4500</v>
      </c>
      <c r="BD21" s="210">
        <f t="shared" si="6"/>
        <v>4500</v>
      </c>
      <c r="BE21" s="210">
        <f t="shared" si="6"/>
        <v>7000</v>
      </c>
      <c r="BF21" s="210">
        <f t="shared" si="6"/>
        <v>4500</v>
      </c>
      <c r="BG21" s="210">
        <f t="shared" si="6"/>
        <v>4500</v>
      </c>
      <c r="BH21" s="210">
        <f t="shared" si="6"/>
        <v>4500</v>
      </c>
      <c r="BI21" s="210">
        <f t="shared" si="6"/>
        <v>14500</v>
      </c>
      <c r="BJ21" s="210">
        <f t="shared" si="6"/>
        <v>4500</v>
      </c>
      <c r="BK21" s="210">
        <f t="shared" si="6"/>
        <v>4500</v>
      </c>
      <c r="BL21" s="210">
        <f t="shared" si="6"/>
        <v>4500</v>
      </c>
      <c r="BM21" s="210">
        <f t="shared" si="6"/>
        <v>7000</v>
      </c>
      <c r="BN21" s="210">
        <f t="shared" si="6"/>
        <v>4500</v>
      </c>
      <c r="BO21" s="210">
        <f t="shared" si="6"/>
        <v>4500</v>
      </c>
      <c r="BP21" s="210">
        <f t="shared" si="6"/>
        <v>4500</v>
      </c>
      <c r="BQ21" s="210">
        <f t="shared" si="6"/>
        <v>7000</v>
      </c>
      <c r="BR21" s="210">
        <f t="shared" si="6"/>
        <v>4500</v>
      </c>
      <c r="BS21" s="210">
        <f t="shared" si="6"/>
        <v>4500</v>
      </c>
      <c r="BT21" s="210">
        <f t="shared" si="6"/>
        <v>4500</v>
      </c>
      <c r="BU21" s="210">
        <f t="shared" si="6"/>
        <v>7000</v>
      </c>
      <c r="BV21" s="210">
        <f t="shared" si="6"/>
        <v>4500</v>
      </c>
      <c r="BW21" s="210">
        <f t="shared" si="6"/>
        <v>4500</v>
      </c>
      <c r="BX21" s="210">
        <f t="shared" si="6"/>
        <v>4500</v>
      </c>
      <c r="BY21" s="210">
        <f t="shared" si="6"/>
        <v>7000</v>
      </c>
      <c r="BZ21" s="210">
        <f t="shared" si="6"/>
        <v>4500</v>
      </c>
      <c r="CA21" s="210">
        <f t="shared" si="6"/>
        <v>4500</v>
      </c>
      <c r="CB21" s="210">
        <f t="shared" si="6"/>
        <v>14500</v>
      </c>
      <c r="CC21" s="210">
        <f t="shared" si="6"/>
        <v>4000</v>
      </c>
      <c r="CD21" s="210">
        <f t="shared" si="6"/>
        <v>4560</v>
      </c>
      <c r="CE21" s="210">
        <f>CE23-CD23</f>
        <v>4500</v>
      </c>
      <c r="CF21" s="210">
        <f>CF23-CE23</f>
        <v>4500</v>
      </c>
      <c r="CG21" s="210">
        <f>CG23-CF23</f>
        <v>5380</v>
      </c>
      <c r="CH21" s="210">
        <f>CH23-CG23</f>
        <v>0</v>
      </c>
      <c r="CI21" s="210">
        <f>CI23-CH23</f>
        <v>0</v>
      </c>
      <c r="CJ21" s="358">
        <f>SUM(Q21:CI21)</f>
        <v>388440</v>
      </c>
    </row>
    <row r="22" spans="1:88" s="59" customFormat="1" ht="15" customHeight="1">
      <c r="B22" t="s">
        <v>406</v>
      </c>
      <c r="C22" s="209"/>
      <c r="D22" s="269">
        <f>D21</f>
        <v>0</v>
      </c>
      <c r="E22" s="269">
        <f t="shared" ref="E22:AJ22" si="7">D22+E21</f>
        <v>0</v>
      </c>
      <c r="F22" s="269">
        <f t="shared" si="7"/>
        <v>0</v>
      </c>
      <c r="G22" s="269">
        <f t="shared" si="7"/>
        <v>0</v>
      </c>
      <c r="H22" s="269">
        <f t="shared" si="7"/>
        <v>0</v>
      </c>
      <c r="I22" s="269">
        <f t="shared" si="7"/>
        <v>0</v>
      </c>
      <c r="J22" s="269">
        <f t="shared" si="7"/>
        <v>0</v>
      </c>
      <c r="K22" s="269">
        <f t="shared" si="7"/>
        <v>0</v>
      </c>
      <c r="L22" s="269">
        <f t="shared" si="7"/>
        <v>0</v>
      </c>
      <c r="M22" s="269">
        <f t="shared" si="7"/>
        <v>0</v>
      </c>
      <c r="N22" s="269">
        <f t="shared" si="7"/>
        <v>0</v>
      </c>
      <c r="O22" s="269">
        <f t="shared" si="7"/>
        <v>0</v>
      </c>
      <c r="P22" s="269">
        <f t="shared" si="7"/>
        <v>0</v>
      </c>
      <c r="Q22" s="269">
        <f t="shared" si="7"/>
        <v>7000</v>
      </c>
      <c r="R22" s="269">
        <f t="shared" si="7"/>
        <v>11500</v>
      </c>
      <c r="S22" s="269">
        <f t="shared" si="7"/>
        <v>16000</v>
      </c>
      <c r="T22" s="269">
        <f t="shared" si="7"/>
        <v>20500</v>
      </c>
      <c r="U22" s="269">
        <f t="shared" si="7"/>
        <v>27500</v>
      </c>
      <c r="V22" s="269">
        <f t="shared" si="7"/>
        <v>32000</v>
      </c>
      <c r="W22" s="269">
        <f t="shared" si="7"/>
        <v>36500</v>
      </c>
      <c r="X22" s="269">
        <f t="shared" si="7"/>
        <v>41000</v>
      </c>
      <c r="Y22" s="269">
        <f t="shared" si="7"/>
        <v>58000</v>
      </c>
      <c r="Z22" s="269">
        <f t="shared" si="7"/>
        <v>62500</v>
      </c>
      <c r="AA22" s="269">
        <f t="shared" si="7"/>
        <v>67000</v>
      </c>
      <c r="AB22" s="269">
        <f t="shared" si="7"/>
        <v>71500</v>
      </c>
      <c r="AC22" s="269">
        <f t="shared" si="7"/>
        <v>78500</v>
      </c>
      <c r="AD22" s="269">
        <f t="shared" si="7"/>
        <v>83000</v>
      </c>
      <c r="AE22" s="269">
        <f t="shared" si="7"/>
        <v>87500</v>
      </c>
      <c r="AF22" s="269">
        <f t="shared" si="7"/>
        <v>92000</v>
      </c>
      <c r="AG22" s="269">
        <f t="shared" si="7"/>
        <v>99000</v>
      </c>
      <c r="AH22" s="269">
        <f t="shared" si="7"/>
        <v>103500</v>
      </c>
      <c r="AI22" s="269">
        <f t="shared" si="7"/>
        <v>108000</v>
      </c>
      <c r="AJ22" s="269">
        <f t="shared" si="7"/>
        <v>112500</v>
      </c>
      <c r="AK22" s="269">
        <f t="shared" ref="AK22:BP22" si="8">AJ22+AK21</f>
        <v>119500</v>
      </c>
      <c r="AL22" s="269">
        <f t="shared" si="8"/>
        <v>124000</v>
      </c>
      <c r="AM22" s="269">
        <f t="shared" si="8"/>
        <v>128500</v>
      </c>
      <c r="AN22" s="269">
        <f t="shared" si="8"/>
        <v>133000</v>
      </c>
      <c r="AO22" s="269">
        <f t="shared" si="8"/>
        <v>150000</v>
      </c>
      <c r="AP22" s="269">
        <f t="shared" si="8"/>
        <v>154500</v>
      </c>
      <c r="AQ22" s="269">
        <f t="shared" si="8"/>
        <v>159000</v>
      </c>
      <c r="AR22" s="269">
        <f t="shared" si="8"/>
        <v>163500</v>
      </c>
      <c r="AS22" s="269">
        <f t="shared" si="8"/>
        <v>170500</v>
      </c>
      <c r="AT22" s="269">
        <f t="shared" si="8"/>
        <v>175000</v>
      </c>
      <c r="AU22" s="269">
        <f t="shared" si="8"/>
        <v>179500</v>
      </c>
      <c r="AV22" s="269">
        <f t="shared" si="8"/>
        <v>184000</v>
      </c>
      <c r="AW22" s="269">
        <f t="shared" si="8"/>
        <v>191000</v>
      </c>
      <c r="AX22" s="269">
        <f t="shared" si="8"/>
        <v>196500</v>
      </c>
      <c r="AY22" s="269">
        <f t="shared" si="8"/>
        <v>200000</v>
      </c>
      <c r="AZ22" s="269">
        <f t="shared" si="8"/>
        <v>204500</v>
      </c>
      <c r="BA22" s="269">
        <f t="shared" si="8"/>
        <v>211500</v>
      </c>
      <c r="BB22" s="269">
        <f t="shared" si="8"/>
        <v>216000</v>
      </c>
      <c r="BC22" s="269">
        <f t="shared" si="8"/>
        <v>220500</v>
      </c>
      <c r="BD22" s="269">
        <f t="shared" si="8"/>
        <v>225000</v>
      </c>
      <c r="BE22" s="269">
        <f t="shared" si="8"/>
        <v>232000</v>
      </c>
      <c r="BF22" s="269">
        <f t="shared" si="8"/>
        <v>236500</v>
      </c>
      <c r="BG22" s="269">
        <f t="shared" si="8"/>
        <v>241000</v>
      </c>
      <c r="BH22" s="269">
        <f t="shared" si="8"/>
        <v>245500</v>
      </c>
      <c r="BI22" s="269">
        <f t="shared" si="8"/>
        <v>260000</v>
      </c>
      <c r="BJ22" s="269">
        <f t="shared" si="8"/>
        <v>264500</v>
      </c>
      <c r="BK22" s="269">
        <f t="shared" si="8"/>
        <v>269000</v>
      </c>
      <c r="BL22" s="269">
        <f t="shared" si="8"/>
        <v>273500</v>
      </c>
      <c r="BM22" s="269">
        <f t="shared" si="8"/>
        <v>280500</v>
      </c>
      <c r="BN22" s="269">
        <f t="shared" si="8"/>
        <v>285000</v>
      </c>
      <c r="BO22" s="269">
        <f t="shared" si="8"/>
        <v>289500</v>
      </c>
      <c r="BP22" s="269">
        <f t="shared" si="8"/>
        <v>294000</v>
      </c>
      <c r="BQ22" s="269">
        <f t="shared" ref="BQ22:CI22" si="9">BP22+BQ21</f>
        <v>301000</v>
      </c>
      <c r="BR22" s="269">
        <f t="shared" si="9"/>
        <v>305500</v>
      </c>
      <c r="BS22" s="269">
        <f t="shared" si="9"/>
        <v>310000</v>
      </c>
      <c r="BT22" s="269">
        <f t="shared" si="9"/>
        <v>314500</v>
      </c>
      <c r="BU22" s="269">
        <f t="shared" si="9"/>
        <v>321500</v>
      </c>
      <c r="BV22" s="269">
        <f t="shared" si="9"/>
        <v>326000</v>
      </c>
      <c r="BW22" s="269">
        <f t="shared" si="9"/>
        <v>330500</v>
      </c>
      <c r="BX22" s="269">
        <f t="shared" si="9"/>
        <v>335000</v>
      </c>
      <c r="BY22" s="269">
        <f t="shared" si="9"/>
        <v>342000</v>
      </c>
      <c r="BZ22" s="269">
        <f t="shared" si="9"/>
        <v>346500</v>
      </c>
      <c r="CA22" s="269">
        <f t="shared" si="9"/>
        <v>351000</v>
      </c>
      <c r="CB22" s="269">
        <f t="shared" si="9"/>
        <v>365500</v>
      </c>
      <c r="CC22" s="269">
        <f t="shared" si="9"/>
        <v>369500</v>
      </c>
      <c r="CD22" s="269">
        <f t="shared" si="9"/>
        <v>374060</v>
      </c>
      <c r="CE22" s="269">
        <f t="shared" si="9"/>
        <v>378560</v>
      </c>
      <c r="CF22" s="269">
        <f t="shared" si="9"/>
        <v>383060</v>
      </c>
      <c r="CG22" s="269">
        <f t="shared" si="9"/>
        <v>388440</v>
      </c>
      <c r="CH22" s="269">
        <f t="shared" si="9"/>
        <v>388440</v>
      </c>
      <c r="CI22" s="269">
        <f t="shared" si="9"/>
        <v>388440</v>
      </c>
    </row>
    <row r="23" spans="1:88" s="47" customFormat="1" ht="15" customHeight="1">
      <c r="B23" t="s">
        <v>406</v>
      </c>
      <c r="C23" s="59"/>
      <c r="D23" s="75"/>
      <c r="E23" s="75"/>
      <c r="F23" s="75"/>
      <c r="G23" s="75"/>
      <c r="H23" s="75"/>
      <c r="I23" s="75"/>
      <c r="J23" s="75"/>
      <c r="K23" s="75"/>
      <c r="L23" s="75"/>
      <c r="M23" s="75"/>
      <c r="N23" s="75"/>
      <c r="O23" s="75"/>
      <c r="P23" s="75"/>
      <c r="Q23" s="359">
        <v>7000</v>
      </c>
      <c r="R23" s="359">
        <v>11500</v>
      </c>
      <c r="S23" s="359">
        <v>16000</v>
      </c>
      <c r="T23" s="359">
        <v>20500</v>
      </c>
      <c r="U23" s="359">
        <v>27500</v>
      </c>
      <c r="V23" s="359">
        <v>32000</v>
      </c>
      <c r="W23" s="359">
        <v>36500</v>
      </c>
      <c r="X23" s="359">
        <v>41000</v>
      </c>
      <c r="Y23" s="359">
        <v>58000</v>
      </c>
      <c r="Z23" s="359">
        <v>62500</v>
      </c>
      <c r="AA23" s="359">
        <v>67000</v>
      </c>
      <c r="AB23" s="359">
        <v>71500</v>
      </c>
      <c r="AC23" s="359">
        <v>78500</v>
      </c>
      <c r="AD23" s="359">
        <v>83000</v>
      </c>
      <c r="AE23" s="359">
        <v>87500</v>
      </c>
      <c r="AF23" s="359">
        <v>92000</v>
      </c>
      <c r="AG23" s="359">
        <v>99000</v>
      </c>
      <c r="AH23" s="359">
        <v>103500</v>
      </c>
      <c r="AI23" s="359">
        <v>108000</v>
      </c>
      <c r="AJ23" s="359">
        <v>112500</v>
      </c>
      <c r="AK23" s="359">
        <v>119500</v>
      </c>
      <c r="AL23" s="359">
        <v>124000</v>
      </c>
      <c r="AM23" s="359">
        <v>128500</v>
      </c>
      <c r="AN23" s="359">
        <v>133000</v>
      </c>
      <c r="AO23" s="359">
        <v>150000</v>
      </c>
      <c r="AP23" s="359">
        <v>154500</v>
      </c>
      <c r="AQ23" s="359">
        <v>159000</v>
      </c>
      <c r="AR23" s="359">
        <v>163500</v>
      </c>
      <c r="AS23" s="359">
        <v>170500</v>
      </c>
      <c r="AT23" s="359">
        <v>175000</v>
      </c>
      <c r="AU23" s="359">
        <v>179500</v>
      </c>
      <c r="AV23" s="359">
        <v>184000</v>
      </c>
      <c r="AW23" s="359">
        <v>191000</v>
      </c>
      <c r="AX23" s="359">
        <v>196500</v>
      </c>
      <c r="AY23" s="359">
        <v>200000</v>
      </c>
      <c r="AZ23" s="359">
        <v>204500</v>
      </c>
      <c r="BA23" s="359">
        <v>211500</v>
      </c>
      <c r="BB23" s="360">
        <v>216000</v>
      </c>
      <c r="BC23" s="360">
        <v>220500</v>
      </c>
      <c r="BD23" s="360">
        <v>225000</v>
      </c>
      <c r="BE23" s="360">
        <v>232000</v>
      </c>
      <c r="BF23" s="360">
        <v>236500</v>
      </c>
      <c r="BG23" s="360">
        <v>241000</v>
      </c>
      <c r="BH23" s="360">
        <v>245500</v>
      </c>
      <c r="BI23" s="360">
        <v>260000</v>
      </c>
      <c r="BJ23" s="360">
        <v>264500</v>
      </c>
      <c r="BK23" s="360">
        <v>269000</v>
      </c>
      <c r="BL23" s="360">
        <v>273500</v>
      </c>
      <c r="BM23" s="360">
        <v>280500</v>
      </c>
      <c r="BN23" s="360">
        <v>285000</v>
      </c>
      <c r="BO23" s="360">
        <v>289500</v>
      </c>
      <c r="BP23" s="360">
        <v>294000</v>
      </c>
      <c r="BQ23" s="360">
        <v>301000</v>
      </c>
      <c r="BR23" s="360">
        <v>305500</v>
      </c>
      <c r="BS23" s="360">
        <v>310000</v>
      </c>
      <c r="BT23" s="360">
        <v>314500</v>
      </c>
      <c r="BU23" s="360">
        <v>321500</v>
      </c>
      <c r="BV23" s="360">
        <v>326000</v>
      </c>
      <c r="BW23" s="360">
        <v>330500</v>
      </c>
      <c r="BX23" s="360">
        <v>335000</v>
      </c>
      <c r="BY23" s="360">
        <v>342000</v>
      </c>
      <c r="BZ23" s="360">
        <v>346500</v>
      </c>
      <c r="CA23" s="360">
        <v>351000</v>
      </c>
      <c r="CB23" s="360">
        <v>365500</v>
      </c>
      <c r="CC23" s="360">
        <v>369500</v>
      </c>
      <c r="CD23" s="360">
        <v>374060</v>
      </c>
      <c r="CE23" s="360">
        <v>378560</v>
      </c>
      <c r="CF23" s="360">
        <v>383060</v>
      </c>
      <c r="CG23" s="360">
        <v>388440</v>
      </c>
      <c r="CH23" s="360">
        <v>388440</v>
      </c>
      <c r="CI23" s="360">
        <v>388440</v>
      </c>
    </row>
    <row r="24" spans="1:88" ht="15" customHeight="1">
      <c r="B24" s="173" t="s">
        <v>108</v>
      </c>
    </row>
    <row r="25" spans="1:88" ht="15" customHeight="1">
      <c r="B25" s="76" t="s">
        <v>1</v>
      </c>
      <c r="C25" s="86">
        <f>'1. Landuse'!C21</f>
        <v>21000</v>
      </c>
      <c r="D25" s="77" t="str">
        <f>IF(C12&lt;C25,"There are too few units in the site trajectory",(IF(C12&gt;C25,"There are too many units in the site trajectory",(IF(C12=C25,"Correct",0)))))</f>
        <v>There are too few units in the site trajectory</v>
      </c>
      <c r="E25" s="78"/>
      <c r="F25" s="78"/>
      <c r="G25" s="78"/>
      <c r="H25" s="78"/>
      <c r="I25" s="78"/>
      <c r="J25" s="78"/>
      <c r="K25" s="79"/>
      <c r="L25" s="215">
        <f>C25-C12</f>
        <v>10049.935714285715</v>
      </c>
    </row>
    <row r="26" spans="1:88" ht="15" customHeight="1">
      <c r="A26" s="42"/>
      <c r="B26" s="14" t="s">
        <v>3</v>
      </c>
      <c r="C26" s="87">
        <f>'1. Landuse'!K18</f>
        <v>205920</v>
      </c>
      <c r="D26" s="80" t="str">
        <f>IF(C18&lt;C26,"There is not enough sqm B1 floorspace  in the trajectory",(IF(C18&gt;C26,"There is too much sqm B1 floorspace in the trajectory",(IF(C18=C26,"Correct",0)))))</f>
        <v>There is not enough sqm B1 floorspace  in the trajectory</v>
      </c>
      <c r="E26" s="81"/>
      <c r="F26" s="81"/>
      <c r="G26" s="81"/>
      <c r="H26" s="81"/>
      <c r="I26" s="81"/>
      <c r="J26" s="81"/>
      <c r="K26" s="82"/>
      <c r="L26" s="215">
        <f>C26-C18</f>
        <v>153920</v>
      </c>
    </row>
    <row r="27" spans="1:88" ht="15" customHeight="1">
      <c r="B27" s="14" t="s">
        <v>2</v>
      </c>
      <c r="C27" s="87">
        <f>'1. Landuse'!K19</f>
        <v>102960</v>
      </c>
      <c r="D27" s="77" t="str">
        <f>IF(C19&lt;C27,"There is not enough sqm B2 B8 floorspace in the site trajectory",(IF(C19&gt;C27,"There is too much sqm B2 B8 floorspace in the site trajectory",(IF(C19=C27,"Correct",0)))))</f>
        <v>There is too much sqm B2 B8 floorspace in the site trajectory</v>
      </c>
      <c r="E27" s="78"/>
      <c r="F27" s="78"/>
      <c r="G27" s="78"/>
      <c r="H27" s="78"/>
      <c r="I27" s="78"/>
      <c r="J27" s="78"/>
      <c r="K27" s="79"/>
      <c r="L27" s="215">
        <f>C27-C19</f>
        <v>-27040</v>
      </c>
    </row>
    <row r="28" spans="1:88" ht="15" customHeight="1">
      <c r="B28" s="14" t="s">
        <v>75</v>
      </c>
      <c r="C28" s="87">
        <f>'1. Landuse'!K20</f>
        <v>79560</v>
      </c>
      <c r="D28" s="83" t="str">
        <f>IF(C20&lt;C28,"There is not enough sqm floorspace in the site trajectory",(IF(C20&gt;C28,"There is too much sqm floorspace in the site trajectory",(IF(C20=C28,"Correct",0)))))</f>
        <v>There is too much sqm floorspace in the site trajectory</v>
      </c>
      <c r="E28" s="84"/>
      <c r="F28" s="84"/>
      <c r="G28" s="84"/>
      <c r="H28" s="84"/>
      <c r="I28" s="84"/>
      <c r="J28" s="84"/>
      <c r="K28" s="85"/>
      <c r="L28" s="215">
        <f>C28-C20</f>
        <v>-102440</v>
      </c>
    </row>
    <row r="31" spans="1:88" ht="15" customHeight="1">
      <c r="A31" s="48"/>
      <c r="B31" s="48"/>
    </row>
    <row r="33" spans="1:5" ht="15" customHeight="1">
      <c r="A33" s="48"/>
      <c r="B33" s="48"/>
    </row>
    <row r="36" spans="1:5" ht="15" customHeight="1">
      <c r="A36" s="48"/>
      <c r="B36" s="48"/>
      <c r="E36" s="48"/>
    </row>
    <row r="38" spans="1:5" ht="15" customHeight="1">
      <c r="A38" s="48"/>
      <c r="B38" s="48"/>
    </row>
    <row r="39" spans="1:5" ht="15" customHeight="1">
      <c r="A39" s="48"/>
      <c r="B39" s="48"/>
    </row>
    <row r="42" spans="1:5" ht="15" customHeight="1">
      <c r="A42" s="49"/>
      <c r="B42" s="49"/>
    </row>
  </sheetData>
  <sheetProtection selectLockedCells="1"/>
  <mergeCells count="1">
    <mergeCell ref="S3:U3"/>
  </mergeCells>
  <phoneticPr fontId="7" type="noConversion"/>
  <conditionalFormatting sqref="C25">
    <cfRule type="cellIs" dxfId="6" priority="4" operator="notEqual">
      <formula>$C$12</formula>
    </cfRule>
  </conditionalFormatting>
  <conditionalFormatting sqref="C26">
    <cfRule type="cellIs" dxfId="5" priority="3" operator="notEqual">
      <formula>$C$18</formula>
    </cfRule>
  </conditionalFormatting>
  <conditionalFormatting sqref="C27">
    <cfRule type="cellIs" dxfId="4" priority="2" operator="notEqual">
      <formula>$C$19</formula>
    </cfRule>
  </conditionalFormatting>
  <conditionalFormatting sqref="C28">
    <cfRule type="cellIs" dxfId="3" priority="1" operator="notEqual">
      <formula>$C$20</formula>
    </cfRule>
  </conditionalFormatting>
  <pageMargins left="0.23622047244094491" right="0.23622047244094491" top="0.74803149606299213" bottom="0.74803149606299213" header="0.31496062992125984" footer="0.31496062992125984"/>
  <pageSetup paperSize="9" scale="78" orientation="landscape"/>
  <headerFooter>
    <oddFooter>&amp;R&amp;"Arial Narrow,Italic"&amp;8Created on: &amp;D</oddFooter>
    <evenFooter>&amp;R&amp;"Arial Narrow,Italic"&amp;8Created on: &amp;D</evenFooter>
    <firstFooter>&amp;R&amp;"Arial Narrow,Italic"&amp;8Created on: &amp;D</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CL194"/>
  <sheetViews>
    <sheetView showGridLines="0" zoomScale="75" zoomScaleNormal="90" zoomScalePageLayoutView="125" workbookViewId="0">
      <pane xSplit="4" ySplit="6" topLeftCell="E9" activePane="bottomRight" state="frozen"/>
      <selection activeCell="F15" sqref="F15"/>
      <selection pane="topRight" activeCell="F15" sqref="F15"/>
      <selection pane="bottomLeft" activeCell="F15" sqref="F15"/>
      <selection pane="bottomRight" activeCell="Q106" sqref="Q106"/>
    </sheetView>
  </sheetViews>
  <sheetFormatPr defaultColWidth="8.85546875" defaultRowHeight="15" customHeight="1"/>
  <cols>
    <col min="1" max="1" width="3.28515625" style="41" customWidth="1"/>
    <col min="2" max="2" width="46.42578125" style="41" customWidth="1"/>
    <col min="3" max="3" width="13.28515625" style="45" customWidth="1"/>
    <col min="4" max="4" width="15.28515625" style="61" customWidth="1"/>
    <col min="5" max="5" width="4.85546875" style="45" customWidth="1"/>
    <col min="6" max="54" width="7" style="41" customWidth="1"/>
    <col min="55" max="55" width="7" style="313" customWidth="1"/>
    <col min="56" max="16384" width="8.85546875" style="41"/>
  </cols>
  <sheetData>
    <row r="1" spans="1:90" s="158" customFormat="1" ht="12.75">
      <c r="BC1" s="565"/>
    </row>
    <row r="2" spans="1:90" s="54" customFormat="1" ht="18" customHeight="1">
      <c r="A2" s="168"/>
      <c r="B2" s="164" t="s">
        <v>161</v>
      </c>
      <c r="C2" s="165"/>
      <c r="D2" s="166"/>
      <c r="E2" s="166"/>
      <c r="F2" s="169"/>
      <c r="G2" s="170"/>
      <c r="H2" s="169"/>
      <c r="I2" s="168"/>
      <c r="M2" s="168"/>
      <c r="O2" s="168"/>
      <c r="BC2" s="566"/>
    </row>
    <row r="3" spans="1:90" s="171" customFormat="1" ht="18.75">
      <c r="A3" s="175"/>
      <c r="B3" s="163">
        <f>Cover!D6</f>
        <v>0</v>
      </c>
      <c r="C3" s="172"/>
      <c r="D3" s="172"/>
      <c r="E3" s="172"/>
      <c r="F3" s="160"/>
      <c r="G3" s="160"/>
      <c r="H3" s="160"/>
      <c r="I3" s="160"/>
      <c r="J3" s="176"/>
      <c r="K3" s="176"/>
      <c r="L3" s="176"/>
      <c r="M3" s="176"/>
      <c r="N3" s="176"/>
      <c r="O3" s="176"/>
      <c r="P3" s="176"/>
      <c r="Q3" s="176"/>
      <c r="R3" s="174"/>
      <c r="S3" s="174"/>
      <c r="T3" s="376"/>
      <c r="U3" s="376"/>
      <c r="BC3" s="567"/>
    </row>
    <row r="4" spans="1:90" s="2" customFormat="1" ht="15" customHeight="1">
      <c r="C4" s="6"/>
      <c r="D4" s="231"/>
      <c r="E4" s="6"/>
      <c r="F4" s="45" t="s">
        <v>583</v>
      </c>
      <c r="G4" s="45"/>
      <c r="H4" s="45"/>
      <c r="I4" s="45"/>
      <c r="J4" s="45"/>
      <c r="K4" s="45"/>
      <c r="L4" s="45"/>
      <c r="M4" s="45"/>
      <c r="N4" s="45"/>
      <c r="O4" s="45"/>
      <c r="P4" s="45"/>
      <c r="Q4" s="45"/>
      <c r="R4" s="45"/>
      <c r="S4" s="45">
        <v>1</v>
      </c>
      <c r="T4" s="45">
        <v>2</v>
      </c>
      <c r="U4" s="45">
        <v>3</v>
      </c>
      <c r="V4" s="45">
        <v>4</v>
      </c>
      <c r="W4" s="45">
        <v>5</v>
      </c>
      <c r="X4" s="45">
        <v>6</v>
      </c>
      <c r="Y4" s="45">
        <v>7</v>
      </c>
      <c r="Z4" s="45">
        <v>8</v>
      </c>
      <c r="AA4" s="45">
        <v>9</v>
      </c>
      <c r="AB4" s="45">
        <v>10</v>
      </c>
      <c r="AC4" s="45">
        <v>11</v>
      </c>
      <c r="AD4" s="45">
        <v>12</v>
      </c>
      <c r="AE4" s="45">
        <v>13</v>
      </c>
      <c r="AF4" s="45">
        <v>14</v>
      </c>
      <c r="AG4" s="45">
        <v>15</v>
      </c>
      <c r="AH4" s="45">
        <v>16</v>
      </c>
      <c r="AI4" s="45">
        <v>17</v>
      </c>
      <c r="AJ4" s="45">
        <v>18</v>
      </c>
      <c r="AK4" s="45">
        <v>19</v>
      </c>
      <c r="AL4" s="45">
        <v>20</v>
      </c>
      <c r="AM4" s="45">
        <v>21</v>
      </c>
      <c r="AN4" s="45">
        <v>22</v>
      </c>
      <c r="AO4" s="45">
        <v>23</v>
      </c>
      <c r="AP4" s="45">
        <v>24</v>
      </c>
      <c r="AQ4" s="45">
        <v>25</v>
      </c>
      <c r="AR4" s="45">
        <v>26</v>
      </c>
      <c r="AS4" s="45">
        <v>27</v>
      </c>
      <c r="AT4" s="45">
        <v>28</v>
      </c>
      <c r="AU4" s="45">
        <v>29</v>
      </c>
      <c r="AV4" s="45">
        <v>30</v>
      </c>
      <c r="AW4" s="45">
        <v>31</v>
      </c>
      <c r="AX4" s="45">
        <v>32</v>
      </c>
      <c r="AY4" s="45">
        <v>33</v>
      </c>
      <c r="AZ4" s="45">
        <v>34</v>
      </c>
      <c r="BA4" s="45">
        <v>35</v>
      </c>
      <c r="BB4" s="45">
        <v>36</v>
      </c>
      <c r="BC4" s="312">
        <v>37</v>
      </c>
      <c r="BD4" s="45">
        <v>38</v>
      </c>
      <c r="BE4" s="45">
        <v>39</v>
      </c>
      <c r="BF4" s="45">
        <v>40</v>
      </c>
      <c r="BG4" s="45">
        <v>41</v>
      </c>
      <c r="BH4" s="45">
        <v>42</v>
      </c>
      <c r="BI4" s="45">
        <v>43</v>
      </c>
      <c r="BJ4" s="45">
        <v>44</v>
      </c>
      <c r="BK4" s="45">
        <v>45</v>
      </c>
      <c r="BL4" s="45">
        <v>46</v>
      </c>
      <c r="BM4" s="45">
        <v>47</v>
      </c>
      <c r="BN4" s="45">
        <v>48</v>
      </c>
      <c r="BO4" s="45">
        <v>49</v>
      </c>
      <c r="BP4" s="45">
        <v>50</v>
      </c>
      <c r="BQ4" s="45">
        <v>51</v>
      </c>
      <c r="BR4" s="45">
        <v>52</v>
      </c>
      <c r="BS4" s="45">
        <v>53</v>
      </c>
      <c r="BT4" s="45">
        <v>54</v>
      </c>
      <c r="BU4" s="45">
        <v>55</v>
      </c>
      <c r="BV4" s="45">
        <v>56</v>
      </c>
      <c r="BW4" s="45">
        <v>57</v>
      </c>
      <c r="BX4" s="45">
        <v>58</v>
      </c>
      <c r="BY4" s="45">
        <v>59</v>
      </c>
      <c r="BZ4" s="45">
        <v>60</v>
      </c>
      <c r="CA4" s="45">
        <v>61</v>
      </c>
      <c r="CB4" s="45">
        <v>62</v>
      </c>
      <c r="CC4" s="45">
        <v>63</v>
      </c>
      <c r="CD4" s="45">
        <v>64</v>
      </c>
      <c r="CE4" s="45">
        <v>65</v>
      </c>
      <c r="CF4" s="45">
        <v>66</v>
      </c>
      <c r="CG4" s="45">
        <v>67</v>
      </c>
      <c r="CH4" s="45">
        <v>68</v>
      </c>
      <c r="CI4" s="45">
        <v>69</v>
      </c>
    </row>
    <row r="5" spans="1:90" s="1" customFormat="1" ht="15" customHeight="1">
      <c r="B5" s="173" t="s">
        <v>114</v>
      </c>
      <c r="C5" s="30"/>
      <c r="D5" s="30"/>
      <c r="E5" s="93"/>
      <c r="F5" s="63"/>
      <c r="G5" s="63">
        <v>2017</v>
      </c>
      <c r="H5" s="63">
        <v>2018</v>
      </c>
      <c r="I5" s="63">
        <v>2019</v>
      </c>
      <c r="J5" s="63">
        <v>2020</v>
      </c>
      <c r="K5" s="63">
        <v>2021</v>
      </c>
      <c r="L5" s="63">
        <v>2022</v>
      </c>
      <c r="M5" s="63">
        <v>2023</v>
      </c>
      <c r="N5" s="63">
        <v>2024</v>
      </c>
      <c r="O5" s="63">
        <v>2025</v>
      </c>
      <c r="P5" s="63">
        <v>2026</v>
      </c>
      <c r="Q5" s="63">
        <v>2027</v>
      </c>
      <c r="R5" s="63">
        <v>2028</v>
      </c>
      <c r="S5" s="63">
        <v>2029</v>
      </c>
      <c r="T5" s="63">
        <v>2030</v>
      </c>
      <c r="U5" s="63">
        <v>2031</v>
      </c>
      <c r="V5" s="63">
        <v>2032</v>
      </c>
      <c r="W5" s="63">
        <v>2033</v>
      </c>
      <c r="X5" s="63">
        <v>2034</v>
      </c>
      <c r="Y5" s="63">
        <v>2035</v>
      </c>
      <c r="Z5" s="63">
        <v>2036</v>
      </c>
      <c r="AA5" s="63">
        <v>2037</v>
      </c>
      <c r="AB5" s="63">
        <v>2038</v>
      </c>
      <c r="AC5" s="63">
        <v>2039</v>
      </c>
      <c r="AD5" s="63">
        <v>2040</v>
      </c>
      <c r="AE5" s="63">
        <v>2041</v>
      </c>
      <c r="AF5" s="63">
        <v>2042</v>
      </c>
      <c r="AG5" s="63">
        <v>2043</v>
      </c>
      <c r="AH5" s="63">
        <v>2044</v>
      </c>
      <c r="AI5" s="63">
        <v>2045</v>
      </c>
      <c r="AJ5" s="63">
        <v>2046</v>
      </c>
      <c r="AK5" s="63">
        <v>2047</v>
      </c>
      <c r="AL5" s="63">
        <v>2048</v>
      </c>
      <c r="AM5" s="63">
        <v>2049</v>
      </c>
      <c r="AN5" s="63">
        <v>2050</v>
      </c>
      <c r="AO5" s="63">
        <v>2051</v>
      </c>
      <c r="AP5" s="63">
        <v>2052</v>
      </c>
      <c r="AQ5" s="63">
        <v>2053</v>
      </c>
      <c r="AR5" s="63">
        <v>2054</v>
      </c>
      <c r="AS5" s="63">
        <v>2055</v>
      </c>
      <c r="AT5" s="63">
        <v>2056</v>
      </c>
      <c r="AU5" s="63">
        <v>2057</v>
      </c>
      <c r="AV5" s="63">
        <v>2058</v>
      </c>
      <c r="AW5" s="63">
        <v>2059</v>
      </c>
      <c r="AX5" s="63">
        <v>2060</v>
      </c>
      <c r="AY5" s="63">
        <v>2061</v>
      </c>
      <c r="AZ5" s="63">
        <v>2062</v>
      </c>
      <c r="BA5" s="63">
        <v>2063</v>
      </c>
      <c r="BB5" s="63">
        <v>2064</v>
      </c>
      <c r="BC5" s="569">
        <v>2065</v>
      </c>
      <c r="BD5" s="63">
        <v>2066</v>
      </c>
      <c r="BE5" s="63">
        <v>2067</v>
      </c>
      <c r="BF5" s="63">
        <v>2068</v>
      </c>
      <c r="BG5" s="63">
        <v>2069</v>
      </c>
      <c r="BH5" s="63">
        <v>2070</v>
      </c>
      <c r="BI5" s="63">
        <v>2071</v>
      </c>
      <c r="BJ5" s="63">
        <v>2072</v>
      </c>
      <c r="BK5" s="63">
        <v>2073</v>
      </c>
      <c r="BL5" s="63">
        <v>2074</v>
      </c>
      <c r="BM5" s="63">
        <v>2075</v>
      </c>
      <c r="BN5" s="63">
        <v>2076</v>
      </c>
      <c r="BO5" s="63">
        <v>2077</v>
      </c>
      <c r="BP5" s="63">
        <v>2078</v>
      </c>
      <c r="BQ5" s="63">
        <v>2079</v>
      </c>
      <c r="BR5" s="63">
        <v>2080</v>
      </c>
      <c r="BS5" s="63">
        <v>2081</v>
      </c>
      <c r="BT5" s="63">
        <v>2082</v>
      </c>
      <c r="BU5" s="63">
        <v>2083</v>
      </c>
      <c r="BV5" s="63">
        <v>2084</v>
      </c>
      <c r="BW5" s="63">
        <v>2085</v>
      </c>
      <c r="BX5" s="63">
        <v>2086</v>
      </c>
      <c r="BY5" s="63">
        <v>2087</v>
      </c>
      <c r="BZ5" s="63">
        <v>2088</v>
      </c>
      <c r="CA5" s="63">
        <v>2089</v>
      </c>
      <c r="CB5" s="63">
        <v>2090</v>
      </c>
      <c r="CC5" s="63">
        <v>2091</v>
      </c>
      <c r="CD5" s="63">
        <v>2092</v>
      </c>
      <c r="CE5" s="63">
        <v>2093</v>
      </c>
      <c r="CF5" s="63">
        <v>2094</v>
      </c>
      <c r="CG5" s="63">
        <v>2095</v>
      </c>
      <c r="CH5" s="63">
        <v>2096</v>
      </c>
      <c r="CI5" s="63">
        <v>2097</v>
      </c>
      <c r="CJ5" s="63">
        <v>2098</v>
      </c>
      <c r="CK5" s="63">
        <v>2099</v>
      </c>
    </row>
    <row r="6" spans="1:90" s="5" customFormat="1" ht="15" customHeight="1">
      <c r="B6" s="25" t="s">
        <v>115</v>
      </c>
      <c r="C6" s="113"/>
      <c r="D6" s="33" t="s">
        <v>4</v>
      </c>
      <c r="E6" s="94"/>
      <c r="F6" s="107"/>
      <c r="G6" s="107"/>
      <c r="H6" s="107"/>
      <c r="I6" s="107"/>
      <c r="J6" s="107"/>
      <c r="K6" s="107"/>
      <c r="L6" s="107"/>
      <c r="M6" s="107"/>
      <c r="N6" s="107"/>
      <c r="O6" s="107"/>
      <c r="P6" s="107"/>
      <c r="Q6" s="107"/>
      <c r="R6" s="107"/>
      <c r="S6" s="107"/>
      <c r="T6" s="107"/>
      <c r="U6" s="108"/>
      <c r="V6" s="107"/>
      <c r="W6" s="107"/>
      <c r="X6" s="107"/>
      <c r="Y6" s="109"/>
      <c r="Z6" s="107"/>
      <c r="AA6" s="107"/>
      <c r="AB6" s="107"/>
      <c r="AC6" s="107"/>
      <c r="AD6" s="107"/>
      <c r="AE6" s="108"/>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589"/>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row>
    <row r="7" spans="1:90" s="2" customFormat="1" ht="15" customHeight="1">
      <c r="B7" s="116" t="s">
        <v>172</v>
      </c>
      <c r="C7" s="117"/>
      <c r="D7" s="112">
        <f>SUM(F7:CK7)</f>
        <v>394.75920844285758</v>
      </c>
      <c r="E7" s="97"/>
      <c r="F7" s="111">
        <f>(('4. Dev Phasing'!D12)/'1. Landuse'!$C$20)*('1. Landuse'!$I$6*'1. Landuse'!$I$7)</f>
        <v>0</v>
      </c>
      <c r="G7" s="111">
        <f>(('4. Dev Phasing'!E12)/'1. Landuse'!$C$20)*('1. Landuse'!$I$6*'1. Landuse'!$I$7)</f>
        <v>1.2084428571428568E-3</v>
      </c>
      <c r="H7" s="111">
        <f>(('4. Dev Phasing'!F12)/'1. Landuse'!$C$20)*('1. Landuse'!$I$6*'1. Landuse'!$I$7)</f>
        <v>0</v>
      </c>
      <c r="I7" s="111">
        <f>(('4. Dev Phasing'!G12)/'1. Landuse'!$C$20)*('1. Landuse'!$I$6*'1. Landuse'!$I$7)</f>
        <v>0</v>
      </c>
      <c r="J7" s="111">
        <f>(('4. Dev Phasing'!H12)/'1. Landuse'!$C$20)*('1. Landuse'!$I$6*'1. Landuse'!$I$7)</f>
        <v>0</v>
      </c>
      <c r="K7" s="111">
        <f>(('4. Dev Phasing'!I12)/'1. Landuse'!$C$20)*('1. Landuse'!$I$6*'1. Landuse'!$I$7)</f>
        <v>0</v>
      </c>
      <c r="L7" s="111">
        <f>(('4. Dev Phasing'!J12)/'1. Landuse'!$C$20)*('1. Landuse'!$I$6*'1. Landuse'!$I$7)</f>
        <v>0</v>
      </c>
      <c r="M7" s="111">
        <f>(('4. Dev Phasing'!K12)/'1. Landuse'!$C$20)*('1. Landuse'!$I$6*'1. Landuse'!$I$7)</f>
        <v>0</v>
      </c>
      <c r="N7" s="111">
        <f>(('4. Dev Phasing'!L12)/'1. Landuse'!$C$20)*('1. Landuse'!$I$6*'1. Landuse'!$I$7)</f>
        <v>0</v>
      </c>
      <c r="O7" s="111">
        <f>(('4. Dev Phasing'!M12)/'1. Landuse'!$C$20)*('1. Landuse'!$I$6*'1. Landuse'!$I$7)</f>
        <v>0</v>
      </c>
      <c r="P7" s="111">
        <f>(('4. Dev Phasing'!N12)/'1. Landuse'!$C$20)*('1. Landuse'!$I$6*'1. Landuse'!$I$7)</f>
        <v>0</v>
      </c>
      <c r="Q7" s="111">
        <f>(('4. Dev Phasing'!O12)/'1. Landuse'!$C$20)*('1. Landuse'!$I$6*'1. Landuse'!$I$7)</f>
        <v>0</v>
      </c>
      <c r="R7" s="111">
        <f>(('4. Dev Phasing'!P12)/'1. Landuse'!$C$20)*('1. Landuse'!$I$6*'1. Landuse'!$I$7)</f>
        <v>0</v>
      </c>
      <c r="S7" s="111">
        <f>'4. Dev Phasing'!Q7/'1. Landuse'!$C21*'1. Landuse'!$D10*(1-'1. Landuse'!$I11)</f>
        <v>2.8196999999999997</v>
      </c>
      <c r="T7" s="111">
        <f>'4. Dev Phasing'!R7/'1. Landuse'!$C21*'1. Landuse'!$D10*(1-'1. Landuse'!$I11)</f>
        <v>5.6393999999999993</v>
      </c>
      <c r="U7" s="111">
        <f>'4. Dev Phasing'!S7/'1. Landuse'!$C21*'1. Landuse'!$D10*(1-'1. Landuse'!$I11)</f>
        <v>5.6393999999999993</v>
      </c>
      <c r="V7" s="111">
        <f>(('4. Dev Phasing'!T12)/'1. Landuse'!$C$20)*('1. Landuse'!$I$6*'1. Landuse'!$I$7)</f>
        <v>5.6393999999999993</v>
      </c>
      <c r="W7" s="111">
        <f>(('4. Dev Phasing'!U12)/'1. Landuse'!$C$20)*('1. Landuse'!$I$6*'1. Landuse'!$I$7)</f>
        <v>5.6393999999999993</v>
      </c>
      <c r="X7" s="111">
        <f>(('4. Dev Phasing'!V12)/'1. Landuse'!$C$20)*('1. Landuse'!$I$6*'1. Landuse'!$I$7)</f>
        <v>5.6393999999999993</v>
      </c>
      <c r="Y7" s="111">
        <f>(('4. Dev Phasing'!W12)/'1. Landuse'!$C$20)*('1. Landuse'!$I$6*'1. Landuse'!$I$7)</f>
        <v>5.6393999999999993</v>
      </c>
      <c r="Z7" s="111">
        <f>(('4. Dev Phasing'!X12)/'1. Landuse'!$C$20)*('1. Landuse'!$I$6*'1. Landuse'!$I$7)</f>
        <v>5.6393999999999993</v>
      </c>
      <c r="AA7" s="111">
        <f>(('4. Dev Phasing'!Y12)/'1. Landuse'!$C$20)*('1. Landuse'!$I$6*'1. Landuse'!$I$7)</f>
        <v>5.6393999999999993</v>
      </c>
      <c r="AB7" s="111">
        <f>(('4. Dev Phasing'!Z12)/'1. Landuse'!$C$20)*('1. Landuse'!$I$6*'1. Landuse'!$I$7)</f>
        <v>5.6393999999999993</v>
      </c>
      <c r="AC7" s="111">
        <f>(('4. Dev Phasing'!AA12)/'1. Landuse'!$C$20)*('1. Landuse'!$I$6*'1. Landuse'!$I$7)</f>
        <v>5.6393999999999993</v>
      </c>
      <c r="AD7" s="111">
        <f>(('4. Dev Phasing'!AB12)/'1. Landuse'!$C$20)*('1. Landuse'!$I$6*'1. Landuse'!$I$7)</f>
        <v>5.6393999999999993</v>
      </c>
      <c r="AE7" s="111">
        <f>(('4. Dev Phasing'!AC12)/'1. Landuse'!$C$20)*('1. Landuse'!$I$6*'1. Landuse'!$I$7)</f>
        <v>5.6393999999999993</v>
      </c>
      <c r="AF7" s="111">
        <f>(('4. Dev Phasing'!AD12)/'1. Landuse'!$C$20)*('1. Landuse'!$I$6*'1. Landuse'!$I$7)</f>
        <v>5.6393999999999993</v>
      </c>
      <c r="AG7" s="111">
        <f>(('4. Dev Phasing'!AE12)/'1. Landuse'!$C$20)*('1. Landuse'!$I$6*'1. Landuse'!$I$7)</f>
        <v>5.6393999999999993</v>
      </c>
      <c r="AH7" s="111">
        <f>(('4. Dev Phasing'!AF12)/'1. Landuse'!$C$20)*('1. Landuse'!$I$6*'1. Landuse'!$I$7)</f>
        <v>5.6393999999999993</v>
      </c>
      <c r="AI7" s="111">
        <f>(('4. Dev Phasing'!AG12)/'1. Landuse'!$C$20)*('1. Landuse'!$I$6*'1. Landuse'!$I$7)</f>
        <v>5.6393999999999993</v>
      </c>
      <c r="AJ7" s="111">
        <f>(('4. Dev Phasing'!AH12)/'1. Landuse'!$C$20)*('1. Landuse'!$I$6*'1. Landuse'!$I$7)</f>
        <v>5.6393999999999993</v>
      </c>
      <c r="AK7" s="111">
        <f>(('4. Dev Phasing'!AI12)/'1. Landuse'!$C$20)*('1. Landuse'!$I$6*'1. Landuse'!$I$7)</f>
        <v>5.6393999999999993</v>
      </c>
      <c r="AL7" s="111">
        <f>(('4. Dev Phasing'!AJ12)/'1. Landuse'!$C$20)*('1. Landuse'!$I$6*'1. Landuse'!$I$7)</f>
        <v>5.6393999999999993</v>
      </c>
      <c r="AM7" s="111">
        <f>(('4. Dev Phasing'!AK12)/'1. Landuse'!$C$20)*('1. Landuse'!$I$6*'1. Landuse'!$I$7)</f>
        <v>5.6393999999999993</v>
      </c>
      <c r="AN7" s="111">
        <f>(('4. Dev Phasing'!AL12)/'1. Landuse'!$C$20)*('1. Landuse'!$I$6*'1. Landuse'!$I$7)</f>
        <v>5.6393999999999993</v>
      </c>
      <c r="AO7" s="111">
        <f>(('4. Dev Phasing'!AM12)/'1. Landuse'!$C$20)*('1. Landuse'!$I$6*'1. Landuse'!$I$7)</f>
        <v>5.6393999999999993</v>
      </c>
      <c r="AP7" s="111">
        <f>(('4. Dev Phasing'!AN12)/'1. Landuse'!$C$20)*('1. Landuse'!$I$6*'1. Landuse'!$I$7)</f>
        <v>5.6393999999999993</v>
      </c>
      <c r="AQ7" s="111">
        <f>(('4. Dev Phasing'!AO12)/'1. Landuse'!$C$20)*('1. Landuse'!$I$6*'1. Landuse'!$I$7)</f>
        <v>5.6393999999999993</v>
      </c>
      <c r="AR7" s="111">
        <f>(('4. Dev Phasing'!AP12)/'1. Landuse'!$C$20)*('1. Landuse'!$I$6*'1. Landuse'!$I$7)</f>
        <v>5.6393999999999993</v>
      </c>
      <c r="AS7" s="111">
        <f>(('4. Dev Phasing'!AQ12)/'1. Landuse'!$C$20)*('1. Landuse'!$I$6*'1. Landuse'!$I$7)</f>
        <v>5.6393999999999993</v>
      </c>
      <c r="AT7" s="111">
        <f>(('4. Dev Phasing'!AR12)/'1. Landuse'!$C$20)*('1. Landuse'!$I$6*'1. Landuse'!$I$7)</f>
        <v>5.6393999999999993</v>
      </c>
      <c r="AU7" s="111">
        <f>(('4. Dev Phasing'!AS12)/'1. Landuse'!$C$20)*('1. Landuse'!$I$6*'1. Landuse'!$I$7)</f>
        <v>5.6393999999999993</v>
      </c>
      <c r="AV7" s="111">
        <f>(('4. Dev Phasing'!AT12)/'1. Landuse'!$C$20)*('1. Landuse'!$I$6*'1. Landuse'!$I$7)</f>
        <v>5.6393999999999993</v>
      </c>
      <c r="AW7" s="111">
        <f>(('4. Dev Phasing'!AU12)/'1. Landuse'!$C$20)*('1. Landuse'!$I$6*'1. Landuse'!$I$7)</f>
        <v>5.6393999999999993</v>
      </c>
      <c r="AX7" s="111">
        <f>(('4. Dev Phasing'!AV12)/'1. Landuse'!$C$20)*('1. Landuse'!$I$6*'1. Landuse'!$I$7)</f>
        <v>5.6393999999999993</v>
      </c>
      <c r="AY7" s="111">
        <f>(('4. Dev Phasing'!AW12)/'1. Landuse'!$C$20)*('1. Landuse'!$I$6*'1. Landuse'!$I$7)</f>
        <v>5.6393999999999993</v>
      </c>
      <c r="AZ7" s="111">
        <f>(('4. Dev Phasing'!AX12)/'1. Landuse'!$C$20)*('1. Landuse'!$I$6*'1. Landuse'!$I$7)</f>
        <v>5.6393999999999993</v>
      </c>
      <c r="BA7" s="111">
        <f>(('4. Dev Phasing'!AY12)/'1. Landuse'!$C$20)*('1. Landuse'!$I$6*'1. Landuse'!$I$7)</f>
        <v>5.6393999999999993</v>
      </c>
      <c r="BB7" s="111">
        <f>(('4. Dev Phasing'!AZ12)/'1. Landuse'!$C$20)*('1. Landuse'!$I$6*'1. Landuse'!$I$7)</f>
        <v>5.6393999999999993</v>
      </c>
      <c r="BC7" s="590">
        <f>(('4. Dev Phasing'!BA12)/'1. Landuse'!$C$20)*('1. Landuse'!$I$6*'1. Landuse'!$I$7)</f>
        <v>5.6393999999999993</v>
      </c>
      <c r="BD7" s="111">
        <f>(('4. Dev Phasing'!BB12)/'1. Landuse'!$C$20)*('1. Landuse'!$I$6*'1. Landuse'!$I$7)</f>
        <v>5.6393999999999993</v>
      </c>
      <c r="BE7" s="111">
        <f>(('4. Dev Phasing'!BC12)/'1. Landuse'!$C$20)*('1. Landuse'!$I$6*'1. Landuse'!$I$7)</f>
        <v>5.6393999999999993</v>
      </c>
      <c r="BF7" s="111">
        <f>(('4. Dev Phasing'!BD12)/'1. Landuse'!$C$20)*('1. Landuse'!$I$6*'1. Landuse'!$I$7)</f>
        <v>5.6393999999999993</v>
      </c>
      <c r="BG7" s="111">
        <f>(('4. Dev Phasing'!BE12)/'1. Landuse'!$C$20)*('1. Landuse'!$I$6*'1. Landuse'!$I$7)</f>
        <v>5.6393999999999993</v>
      </c>
      <c r="BH7" s="111">
        <f>(('4. Dev Phasing'!BF12)/'1. Landuse'!$C$20)*('1. Landuse'!$I$6*'1. Landuse'!$I$7)</f>
        <v>5.6393999999999993</v>
      </c>
      <c r="BI7" s="111">
        <f>(('4. Dev Phasing'!BG12)/'1. Landuse'!$C$20)*('1. Landuse'!$I$6*'1. Landuse'!$I$7)</f>
        <v>5.6393999999999993</v>
      </c>
      <c r="BJ7" s="111">
        <f>(('4. Dev Phasing'!BH12)/'1. Landuse'!$C$20)*('1. Landuse'!$I$6*'1. Landuse'!$I$7)</f>
        <v>5.6393999999999993</v>
      </c>
      <c r="BK7" s="111">
        <f>(('4. Dev Phasing'!BI12)/'1. Landuse'!$C$20)*('1. Landuse'!$I$6*'1. Landuse'!$I$7)</f>
        <v>5.6393999999999993</v>
      </c>
      <c r="BL7" s="111">
        <f>(('4. Dev Phasing'!BJ12)/'1. Landuse'!$C$20)*('1. Landuse'!$I$6*'1. Landuse'!$I$7)</f>
        <v>5.6393999999999993</v>
      </c>
      <c r="BM7" s="111">
        <f>(('4. Dev Phasing'!BK12)/'1. Landuse'!$C$20)*('1. Landuse'!$I$6*'1. Landuse'!$I$7)</f>
        <v>5.6393999999999993</v>
      </c>
      <c r="BN7" s="111">
        <f>(('4. Dev Phasing'!BL12)/'1. Landuse'!$C$20)*('1. Landuse'!$I$6*'1. Landuse'!$I$7)</f>
        <v>5.6393999999999993</v>
      </c>
      <c r="BO7" s="111">
        <f>(('4. Dev Phasing'!BM12)/'1. Landuse'!$C$20)*('1. Landuse'!$I$6*'1. Landuse'!$I$7)</f>
        <v>5.6393999999999993</v>
      </c>
      <c r="BP7" s="111">
        <f>(('4. Dev Phasing'!BN12)/'1. Landuse'!$C$20)*('1. Landuse'!$I$6*'1. Landuse'!$I$7)</f>
        <v>5.6393999999999993</v>
      </c>
      <c r="BQ7" s="111">
        <f>(('4. Dev Phasing'!BO12)/'1. Landuse'!$C$20)*('1. Landuse'!$I$6*'1. Landuse'!$I$7)</f>
        <v>5.6393999999999993</v>
      </c>
      <c r="BR7" s="111">
        <f>(('4. Dev Phasing'!BP12)/'1. Landuse'!$C$20)*('1. Landuse'!$I$6*'1. Landuse'!$I$7)</f>
        <v>5.6393999999999993</v>
      </c>
      <c r="BS7" s="111">
        <f>(('4. Dev Phasing'!BQ12)/'1. Landuse'!$C$20)*('1. Landuse'!$I$6*'1. Landuse'!$I$7)</f>
        <v>5.6393999999999993</v>
      </c>
      <c r="BT7" s="111">
        <f>(('4. Dev Phasing'!BR12)/'1. Landuse'!$C$20)*('1. Landuse'!$I$6*'1. Landuse'!$I$7)</f>
        <v>5.6393999999999993</v>
      </c>
      <c r="BU7" s="111">
        <f>(('4. Dev Phasing'!BS12)/'1. Landuse'!$C$20)*('1. Landuse'!$I$6*'1. Landuse'!$I$7)</f>
        <v>5.6393999999999993</v>
      </c>
      <c r="BV7" s="111">
        <f>(('4. Dev Phasing'!BT12)/'1. Landuse'!$C$20)*('1. Landuse'!$I$6*'1. Landuse'!$I$7)</f>
        <v>5.6393999999999993</v>
      </c>
      <c r="BW7" s="111">
        <f>(('4. Dev Phasing'!BU12)/'1. Landuse'!$C$20)*('1. Landuse'!$I$6*'1. Landuse'!$I$7)</f>
        <v>5.6393999999999993</v>
      </c>
      <c r="BX7" s="111">
        <f>(('4. Dev Phasing'!BV12)/'1. Landuse'!$C$20)*('1. Landuse'!$I$6*'1. Landuse'!$I$7)</f>
        <v>5.6393999999999993</v>
      </c>
      <c r="BY7" s="111">
        <f>(('4. Dev Phasing'!BW12)/'1. Landuse'!$C$20)*('1. Landuse'!$I$6*'1. Landuse'!$I$7)</f>
        <v>5.6393999999999993</v>
      </c>
      <c r="BZ7" s="111">
        <f>(('4. Dev Phasing'!BX12)/'1. Landuse'!$C$20)*('1. Landuse'!$I$6*'1. Landuse'!$I$7)</f>
        <v>5.6393999999999993</v>
      </c>
      <c r="CA7" s="111">
        <f>(('4. Dev Phasing'!BY12)/'1. Landuse'!$C$20)*('1. Landuse'!$I$6*'1. Landuse'!$I$7)</f>
        <v>5.6393999999999993</v>
      </c>
      <c r="CB7" s="111">
        <f>(('4. Dev Phasing'!BZ12)/'1. Landuse'!$C$20)*('1. Landuse'!$I$6*'1. Landuse'!$I$7)</f>
        <v>5.6393999999999993</v>
      </c>
      <c r="CC7" s="111">
        <f>(('4. Dev Phasing'!CA12)/'1. Landuse'!$C$20)*('1. Landuse'!$I$6*'1. Landuse'!$I$7)</f>
        <v>5.6393999999999993</v>
      </c>
      <c r="CD7" s="111">
        <f>(('4. Dev Phasing'!CB12)/'1. Landuse'!$C$20)*('1. Landuse'!$I$6*'1. Landuse'!$I$7)</f>
        <v>5.6393999999999993</v>
      </c>
      <c r="CE7" s="111">
        <f>(('4. Dev Phasing'!CC12)/'1. Landuse'!$C$20)*('1. Landuse'!$I$6*'1. Landuse'!$I$7)</f>
        <v>5.6393999999999993</v>
      </c>
      <c r="CF7" s="111">
        <f>(('4. Dev Phasing'!CD12)/'1. Landuse'!$C$20)*('1. Landuse'!$I$6*'1. Landuse'!$I$7)</f>
        <v>5.6393999999999993</v>
      </c>
      <c r="CG7" s="111">
        <f>(('4. Dev Phasing'!CE12)/'1. Landuse'!$C$20)*('1. Landuse'!$I$6*'1. Landuse'!$I$7)</f>
        <v>5.6393999999999993</v>
      </c>
      <c r="CH7" s="111">
        <f>(('4. Dev Phasing'!CF12)/'1. Landuse'!$C$20)*('1. Landuse'!$I$6*'1. Landuse'!$I$7)</f>
        <v>5.6393999999999993</v>
      </c>
      <c r="CI7" s="111">
        <f>(('4. Dev Phasing'!CG12)/'1. Landuse'!$C$20)*('1. Landuse'!$I$6*'1. Landuse'!$I$7)</f>
        <v>5.6393999999999993</v>
      </c>
      <c r="CJ7" s="111">
        <f>(('4. Dev Phasing'!CH12)/'1. Landuse'!$C$20)*('1. Landuse'!$I$6*'1. Landuse'!$I$7)</f>
        <v>5.6393999999999993</v>
      </c>
      <c r="CK7" s="111">
        <f>(('4. Dev Phasing'!CI12)/'1. Landuse'!$C$20)*('1. Landuse'!$I$6*'1. Landuse'!$I$7)</f>
        <v>2.8196999999999997</v>
      </c>
      <c r="CL7"/>
    </row>
    <row r="8" spans="1:90" s="2" customFormat="1" ht="15" customHeight="1">
      <c r="B8" s="116" t="s">
        <v>173</v>
      </c>
      <c r="C8" s="117"/>
      <c r="D8" s="112">
        <f>SUM(F8:BC8)</f>
        <v>0</v>
      </c>
      <c r="E8" s="97"/>
      <c r="F8" s="111">
        <f>(('4. Dev Phasing'!D12)/'1. Landuse'!$C$20)*('1. Landuse'!$I$6*'1. Landuse'!$I$8)</f>
        <v>0</v>
      </c>
      <c r="G8" s="111">
        <f>(('4. Dev Phasing'!E12)/'1. Landuse'!$C$20)*('1. Landuse'!$I$6*'1. Landuse'!$I$8)</f>
        <v>0</v>
      </c>
      <c r="H8" s="111">
        <f>(('4. Dev Phasing'!F12)/'1. Landuse'!$C$20)*('1. Landuse'!$I$6*'1. Landuse'!$I$8)</f>
        <v>0</v>
      </c>
      <c r="I8" s="111">
        <f>(('4. Dev Phasing'!G12)/'1. Landuse'!$C$20)*('1. Landuse'!$I$6*'1. Landuse'!$I$8)</f>
        <v>0</v>
      </c>
      <c r="J8" s="111">
        <f>(('4. Dev Phasing'!H12)/'1. Landuse'!$C$20)*('1. Landuse'!$I$6*'1. Landuse'!$I$8)</f>
        <v>0</v>
      </c>
      <c r="K8" s="111">
        <f>(('4. Dev Phasing'!I12)/'1. Landuse'!$C$20)*('1. Landuse'!$I$6*'1. Landuse'!$I$8)</f>
        <v>0</v>
      </c>
      <c r="L8" s="111">
        <f>(('4. Dev Phasing'!J12)/'1. Landuse'!$C$20)*('1. Landuse'!$I$6*'1. Landuse'!$I$8)</f>
        <v>0</v>
      </c>
      <c r="M8" s="111">
        <f>(('4. Dev Phasing'!K12)/'1. Landuse'!$C$20)*('1. Landuse'!$I$6*'1. Landuse'!$I$8)</f>
        <v>0</v>
      </c>
      <c r="N8" s="111">
        <f>(('4. Dev Phasing'!L12)/'1. Landuse'!$C$20)*('1. Landuse'!$I$6*'1. Landuse'!$I$8)</f>
        <v>0</v>
      </c>
      <c r="O8" s="111">
        <f>(('4. Dev Phasing'!M12)/'1. Landuse'!$C$20)*('1. Landuse'!$I$6*'1. Landuse'!$I$8)</f>
        <v>0</v>
      </c>
      <c r="P8" s="111">
        <f>(('4. Dev Phasing'!N12)/'1. Landuse'!$C$20)*('1. Landuse'!$I$6*'1. Landuse'!$I$8)</f>
        <v>0</v>
      </c>
      <c r="Q8" s="111">
        <f>(('4. Dev Phasing'!O12)/'1. Landuse'!$C$20)*('1. Landuse'!$I$6*'1. Landuse'!$I$8)</f>
        <v>0</v>
      </c>
      <c r="R8" s="111">
        <f>(('4. Dev Phasing'!P12)/'1. Landuse'!$C$20)*('1. Landuse'!$I$6*'1. Landuse'!$I$8)</f>
        <v>0</v>
      </c>
      <c r="S8" s="111">
        <f>(('4. Dev Phasing'!Q12)/'1. Landuse'!$C$20)*('1. Landuse'!$I$6*'1. Landuse'!$I$8)</f>
        <v>0</v>
      </c>
      <c r="T8" s="111">
        <f>(('4. Dev Phasing'!R12)/'1. Landuse'!$C$20)*('1. Landuse'!$I$6*'1. Landuse'!$I$8)</f>
        <v>0</v>
      </c>
      <c r="U8" s="111">
        <f>(('4. Dev Phasing'!S12)/'1. Landuse'!$C$20)*('1. Landuse'!$I$6*'1. Landuse'!$I$8)</f>
        <v>0</v>
      </c>
      <c r="V8" s="111">
        <f>(('4. Dev Phasing'!T12)/'1. Landuse'!$C$20)*('1. Landuse'!$I$6*'1. Landuse'!$I$8)</f>
        <v>0</v>
      </c>
      <c r="W8" s="111">
        <f>(('4. Dev Phasing'!U12)/'1. Landuse'!$C$20)*('1. Landuse'!$I$6*'1. Landuse'!$I$8)</f>
        <v>0</v>
      </c>
      <c r="X8" s="111">
        <f>(('4. Dev Phasing'!V12)/'1. Landuse'!$C$20)*('1. Landuse'!$I$6*'1. Landuse'!$I$8)</f>
        <v>0</v>
      </c>
      <c r="Y8" s="111">
        <f>(('4. Dev Phasing'!W12)/'1. Landuse'!$C$20)*('1. Landuse'!$I$6*'1. Landuse'!$I$8)</f>
        <v>0</v>
      </c>
      <c r="Z8" s="111">
        <f>(('4. Dev Phasing'!X12)/'1. Landuse'!$C$20)*('1. Landuse'!$I$6*'1. Landuse'!$I$8)</f>
        <v>0</v>
      </c>
      <c r="AA8" s="111">
        <f>(('4. Dev Phasing'!Y12)/'1. Landuse'!$C$20)*('1. Landuse'!$I$6*'1. Landuse'!$I$8)</f>
        <v>0</v>
      </c>
      <c r="AB8" s="111">
        <f>(('4. Dev Phasing'!Z12)/'1. Landuse'!$C$20)*('1. Landuse'!$I$6*'1. Landuse'!$I$8)</f>
        <v>0</v>
      </c>
      <c r="AC8" s="111">
        <f>(('4. Dev Phasing'!AA12)/'1. Landuse'!$C$20)*('1. Landuse'!$I$6*'1. Landuse'!$I$8)</f>
        <v>0</v>
      </c>
      <c r="AD8" s="111">
        <f>(('4. Dev Phasing'!AB12)/'1. Landuse'!$C$20)*('1. Landuse'!$I$6*'1. Landuse'!$I$8)</f>
        <v>0</v>
      </c>
      <c r="AE8" s="111">
        <f>(('4. Dev Phasing'!AC12)/'1. Landuse'!$C$20)*('1. Landuse'!$I$6*'1. Landuse'!$I$8)</f>
        <v>0</v>
      </c>
      <c r="AF8" s="111">
        <f>(('4. Dev Phasing'!AD12)/'1. Landuse'!$C$20)*('1. Landuse'!$I$6*'1. Landuse'!$I$8)</f>
        <v>0</v>
      </c>
      <c r="AG8" s="111">
        <f>(('4. Dev Phasing'!AE12)/'1. Landuse'!$C$20)*('1. Landuse'!$I$6*'1. Landuse'!$I$8)</f>
        <v>0</v>
      </c>
      <c r="AH8" s="111">
        <f>(('4. Dev Phasing'!AF12)/'1. Landuse'!$C$20)*('1. Landuse'!$I$6*'1. Landuse'!$I$8)</f>
        <v>0</v>
      </c>
      <c r="AI8" s="111">
        <f>(('4. Dev Phasing'!AG12)/'1. Landuse'!$C$20)*('1. Landuse'!$I$6*'1. Landuse'!$I$8)</f>
        <v>0</v>
      </c>
      <c r="AJ8" s="111">
        <f>(('4. Dev Phasing'!AH12)/'1. Landuse'!$C$20)*('1. Landuse'!$I$6*'1. Landuse'!$I$8)</f>
        <v>0</v>
      </c>
      <c r="AK8" s="111">
        <f>(('4. Dev Phasing'!AI12)/'1. Landuse'!$C$20)*('1. Landuse'!$I$6*'1. Landuse'!$I$8)</f>
        <v>0</v>
      </c>
      <c r="AL8" s="111">
        <f>(('4. Dev Phasing'!AJ12)/'1. Landuse'!$C$20)*('1. Landuse'!$I$6*'1. Landuse'!$I$8)</f>
        <v>0</v>
      </c>
      <c r="AM8" s="111">
        <f>(('4. Dev Phasing'!AK12)/'1. Landuse'!$C$20)*('1. Landuse'!$I$6*'1. Landuse'!$I$8)</f>
        <v>0</v>
      </c>
      <c r="AN8" s="111">
        <f>(('4. Dev Phasing'!AL12)/'1. Landuse'!$C$20)*('1. Landuse'!$I$6*'1. Landuse'!$I$8)</f>
        <v>0</v>
      </c>
      <c r="AO8" s="111">
        <f>(('4. Dev Phasing'!AM12)/'1. Landuse'!$C$20)*('1. Landuse'!$I$6*'1. Landuse'!$I$8)</f>
        <v>0</v>
      </c>
      <c r="AP8" s="111">
        <f>(('4. Dev Phasing'!AN12)/'1. Landuse'!$C$20)*('1. Landuse'!$I$6*'1. Landuse'!$I$8)</f>
        <v>0</v>
      </c>
      <c r="AQ8" s="111">
        <f>(('4. Dev Phasing'!AO12)/'1. Landuse'!$C$20)*('1. Landuse'!$I$6*'1. Landuse'!$I$8)</f>
        <v>0</v>
      </c>
      <c r="AR8" s="111">
        <f>(('4. Dev Phasing'!AP12)/'1. Landuse'!$C$20)*('1. Landuse'!$I$6*'1. Landuse'!$I$8)</f>
        <v>0</v>
      </c>
      <c r="AS8" s="111">
        <f>(('4. Dev Phasing'!AQ12)/'1. Landuse'!$C$20)*('1. Landuse'!$I$6*'1. Landuse'!$I$8)</f>
        <v>0</v>
      </c>
      <c r="AT8" s="111">
        <f>(('4. Dev Phasing'!AR12)/'1. Landuse'!$C$20)*('1. Landuse'!$I$6*'1. Landuse'!$I$8)</f>
        <v>0</v>
      </c>
      <c r="AU8" s="111">
        <f>(('4. Dev Phasing'!AS12)/'1. Landuse'!$C$20)*('1. Landuse'!$I$6*'1. Landuse'!$I$8)</f>
        <v>0</v>
      </c>
      <c r="AV8" s="111">
        <f>(('4. Dev Phasing'!AT12)/'1. Landuse'!$C$20)*('1. Landuse'!$I$6*'1. Landuse'!$I$8)</f>
        <v>0</v>
      </c>
      <c r="AW8" s="111">
        <f>(('4. Dev Phasing'!AU12)/'1. Landuse'!$C$20)*('1. Landuse'!$I$6*'1. Landuse'!$I$8)</f>
        <v>0</v>
      </c>
      <c r="AX8" s="111">
        <f>(('4. Dev Phasing'!AV12)/'1. Landuse'!$C$20)*('1. Landuse'!$I$6*'1. Landuse'!$I$8)</f>
        <v>0</v>
      </c>
      <c r="AY8" s="111">
        <f>(('4. Dev Phasing'!AW12)/'1. Landuse'!$C$20)*('1. Landuse'!$I$6*'1. Landuse'!$I$8)</f>
        <v>0</v>
      </c>
      <c r="AZ8" s="111">
        <f>(('4. Dev Phasing'!AX12)/'1. Landuse'!$C$20)*('1. Landuse'!$I$6*'1. Landuse'!$I$8)</f>
        <v>0</v>
      </c>
      <c r="BA8" s="111">
        <f>(('4. Dev Phasing'!AY12)/'1. Landuse'!$C$20)*('1. Landuse'!$I$6*'1. Landuse'!$I$8)</f>
        <v>0</v>
      </c>
      <c r="BB8" s="111">
        <f>(('4. Dev Phasing'!AZ12)/'1. Landuse'!$C$20)*('1. Landuse'!$I$6*'1. Landuse'!$I$8)</f>
        <v>0</v>
      </c>
      <c r="BC8" s="590">
        <f>(('4. Dev Phasing'!BA12)/'1. Landuse'!$C$20)*('1. Landuse'!$I$6*'1. Landuse'!$I$8)</f>
        <v>0</v>
      </c>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row>
    <row r="9" spans="1:90" s="2" customFormat="1" ht="15" customHeight="1">
      <c r="B9" s="116" t="s">
        <v>174</v>
      </c>
      <c r="C9" s="117"/>
      <c r="D9" s="112">
        <f>SUM(F9:BC9)</f>
        <v>0</v>
      </c>
      <c r="E9" s="97"/>
      <c r="F9" s="111">
        <f>(('4. Dev Phasing'!D12)/'1. Landuse'!$C$20)*('1. Landuse'!$I$6*'1. Landuse'!$I$9)</f>
        <v>0</v>
      </c>
      <c r="G9" s="111">
        <f>(('4. Dev Phasing'!E12)/'1. Landuse'!$C$20)*('1. Landuse'!$I$6*'1. Landuse'!$I$9)</f>
        <v>0</v>
      </c>
      <c r="H9" s="111">
        <f>(('4. Dev Phasing'!F12)/'1. Landuse'!$C$20)*('1. Landuse'!$I$6*'1. Landuse'!$I$9)</f>
        <v>0</v>
      </c>
      <c r="I9" s="111">
        <f>(('4. Dev Phasing'!G12)/'1. Landuse'!$C$20)*('1. Landuse'!$I$6*'1. Landuse'!$I$9)</f>
        <v>0</v>
      </c>
      <c r="J9" s="111">
        <f>(('4. Dev Phasing'!H12)/'1. Landuse'!$C$20)*('1. Landuse'!$I$6*'1. Landuse'!$I$9)</f>
        <v>0</v>
      </c>
      <c r="K9" s="111">
        <f>(('4. Dev Phasing'!I12)/'1. Landuse'!$C$20)*('1. Landuse'!$I$6*'1. Landuse'!$I$9)</f>
        <v>0</v>
      </c>
      <c r="L9" s="111">
        <f>(('4. Dev Phasing'!J12)/'1. Landuse'!$C$20)*('1. Landuse'!$I$6*'1. Landuse'!$I$9)</f>
        <v>0</v>
      </c>
      <c r="M9" s="111">
        <f>(('4. Dev Phasing'!K12)/'1. Landuse'!$C$20)*('1. Landuse'!$I$6*'1. Landuse'!$I$9)</f>
        <v>0</v>
      </c>
      <c r="N9" s="111">
        <f>(('4. Dev Phasing'!L12)/'1. Landuse'!$C$20)*('1. Landuse'!$I$6*'1. Landuse'!$I$9)</f>
        <v>0</v>
      </c>
      <c r="O9" s="111">
        <f>(('4. Dev Phasing'!M12)/'1. Landuse'!$C$20)*('1. Landuse'!$I$6*'1. Landuse'!$I$9)</f>
        <v>0</v>
      </c>
      <c r="P9" s="111">
        <f>(('4. Dev Phasing'!N12)/'1. Landuse'!$C$20)*('1. Landuse'!$I$6*'1. Landuse'!$I$9)</f>
        <v>0</v>
      </c>
      <c r="Q9" s="111">
        <f>(('4. Dev Phasing'!O12)/'1. Landuse'!$C$20)*('1. Landuse'!$I$6*'1. Landuse'!$I$9)</f>
        <v>0</v>
      </c>
      <c r="R9" s="111">
        <f>(('4. Dev Phasing'!P12)/'1. Landuse'!$C$20)*('1. Landuse'!$I$6*'1. Landuse'!$I$9)</f>
        <v>0</v>
      </c>
      <c r="S9" s="111">
        <f>(('4. Dev Phasing'!Q12)/'1. Landuse'!$C$20)*('1. Landuse'!$I$6*'1. Landuse'!$I$9)</f>
        <v>0</v>
      </c>
      <c r="T9" s="111">
        <f>(('4. Dev Phasing'!R12)/'1. Landuse'!$C$20)*('1. Landuse'!$I$6*'1. Landuse'!$I$9)</f>
        <v>0</v>
      </c>
      <c r="U9" s="111">
        <f>(('4. Dev Phasing'!S12)/'1. Landuse'!$C$20)*('1. Landuse'!$I$6*'1. Landuse'!$I$9)</f>
        <v>0</v>
      </c>
      <c r="V9" s="111">
        <f>(('4. Dev Phasing'!T12)/'1. Landuse'!$C$20)*('1. Landuse'!$I$6*'1. Landuse'!$I$9)</f>
        <v>0</v>
      </c>
      <c r="W9" s="111">
        <f>(('4. Dev Phasing'!U12)/'1. Landuse'!$C$20)*('1. Landuse'!$I$6*'1. Landuse'!$I$9)</f>
        <v>0</v>
      </c>
      <c r="X9" s="111">
        <f>(('4. Dev Phasing'!V12)/'1. Landuse'!$C$20)*('1. Landuse'!$I$6*'1. Landuse'!$I$9)</f>
        <v>0</v>
      </c>
      <c r="Y9" s="111">
        <f>(('4. Dev Phasing'!W12)/'1. Landuse'!$C$20)*('1. Landuse'!$I$6*'1. Landuse'!$I$9)</f>
        <v>0</v>
      </c>
      <c r="Z9" s="111">
        <f>(('4. Dev Phasing'!X12)/'1. Landuse'!$C$20)*('1. Landuse'!$I$6*'1. Landuse'!$I$9)</f>
        <v>0</v>
      </c>
      <c r="AA9" s="111">
        <f>(('4. Dev Phasing'!Y12)/'1. Landuse'!$C$20)*('1. Landuse'!$I$6*'1. Landuse'!$I$9)</f>
        <v>0</v>
      </c>
      <c r="AB9" s="111">
        <f>(('4. Dev Phasing'!Z12)/'1. Landuse'!$C$20)*('1. Landuse'!$I$6*'1. Landuse'!$I$9)</f>
        <v>0</v>
      </c>
      <c r="AC9" s="111">
        <f>(('4. Dev Phasing'!AA12)/'1. Landuse'!$C$20)*('1. Landuse'!$I$6*'1. Landuse'!$I$9)</f>
        <v>0</v>
      </c>
      <c r="AD9" s="111">
        <f>(('4. Dev Phasing'!AB12)/'1. Landuse'!$C$20)*('1. Landuse'!$I$6*'1. Landuse'!$I$9)</f>
        <v>0</v>
      </c>
      <c r="AE9" s="111">
        <f>(('4. Dev Phasing'!AC12)/'1. Landuse'!$C$20)*('1. Landuse'!$I$6*'1. Landuse'!$I$9)</f>
        <v>0</v>
      </c>
      <c r="AF9" s="111">
        <f>(('4. Dev Phasing'!AD12)/'1. Landuse'!$C$20)*('1. Landuse'!$I$6*'1. Landuse'!$I$9)</f>
        <v>0</v>
      </c>
      <c r="AG9" s="111">
        <f>(('4. Dev Phasing'!AE12)/'1. Landuse'!$C$20)*('1. Landuse'!$I$6*'1. Landuse'!$I$9)</f>
        <v>0</v>
      </c>
      <c r="AH9" s="111">
        <f>(('4. Dev Phasing'!AF12)/'1. Landuse'!$C$20)*('1. Landuse'!$I$6*'1. Landuse'!$I$9)</f>
        <v>0</v>
      </c>
      <c r="AI9" s="111">
        <f>(('4. Dev Phasing'!AG12)/'1. Landuse'!$C$20)*('1. Landuse'!$I$6*'1. Landuse'!$I$9)</f>
        <v>0</v>
      </c>
      <c r="AJ9" s="111">
        <f>(('4. Dev Phasing'!AH12)/'1. Landuse'!$C$20)*('1. Landuse'!$I$6*'1. Landuse'!$I$9)</f>
        <v>0</v>
      </c>
      <c r="AK9" s="111">
        <f>(('4. Dev Phasing'!AI12)/'1. Landuse'!$C$20)*('1. Landuse'!$I$6*'1. Landuse'!$I$9)</f>
        <v>0</v>
      </c>
      <c r="AL9" s="111">
        <f>(('4. Dev Phasing'!AJ12)/'1. Landuse'!$C$20)*('1. Landuse'!$I$6*'1. Landuse'!$I$9)</f>
        <v>0</v>
      </c>
      <c r="AM9" s="111">
        <f>(('4. Dev Phasing'!AK12)/'1. Landuse'!$C$20)*('1. Landuse'!$I$6*'1. Landuse'!$I$9)</f>
        <v>0</v>
      </c>
      <c r="AN9" s="111">
        <f>(('4. Dev Phasing'!AL12)/'1. Landuse'!$C$20)*('1. Landuse'!$I$6*'1. Landuse'!$I$9)</f>
        <v>0</v>
      </c>
      <c r="AO9" s="111">
        <f>(('4. Dev Phasing'!AM12)/'1. Landuse'!$C$20)*('1. Landuse'!$I$6*'1. Landuse'!$I$9)</f>
        <v>0</v>
      </c>
      <c r="AP9" s="111">
        <f>(('4. Dev Phasing'!AN12)/'1. Landuse'!$C$20)*('1. Landuse'!$I$6*'1. Landuse'!$I$9)</f>
        <v>0</v>
      </c>
      <c r="AQ9" s="111">
        <f>(('4. Dev Phasing'!AO12)/'1. Landuse'!$C$20)*('1. Landuse'!$I$6*'1. Landuse'!$I$9)</f>
        <v>0</v>
      </c>
      <c r="AR9" s="111">
        <f>(('4. Dev Phasing'!AP12)/'1. Landuse'!$C$20)*('1. Landuse'!$I$6*'1. Landuse'!$I$9)</f>
        <v>0</v>
      </c>
      <c r="AS9" s="111">
        <f>(('4. Dev Phasing'!AQ12)/'1. Landuse'!$C$20)*('1. Landuse'!$I$6*'1. Landuse'!$I$9)</f>
        <v>0</v>
      </c>
      <c r="AT9" s="111">
        <f>(('4. Dev Phasing'!AR12)/'1. Landuse'!$C$20)*('1. Landuse'!$I$6*'1. Landuse'!$I$9)</f>
        <v>0</v>
      </c>
      <c r="AU9" s="111">
        <f>(('4. Dev Phasing'!AS12)/'1. Landuse'!$C$20)*('1. Landuse'!$I$6*'1. Landuse'!$I$9)</f>
        <v>0</v>
      </c>
      <c r="AV9" s="111">
        <f>(('4. Dev Phasing'!AT12)/'1. Landuse'!$C$20)*('1. Landuse'!$I$6*'1. Landuse'!$I$9)</f>
        <v>0</v>
      </c>
      <c r="AW9" s="111">
        <f>(('4. Dev Phasing'!AU12)/'1. Landuse'!$C$20)*('1. Landuse'!$I$6*'1. Landuse'!$I$9)</f>
        <v>0</v>
      </c>
      <c r="AX9" s="111">
        <f>(('4. Dev Phasing'!AV12)/'1. Landuse'!$C$20)*('1. Landuse'!$I$6*'1. Landuse'!$I$9)</f>
        <v>0</v>
      </c>
      <c r="AY9" s="111">
        <f>(('4. Dev Phasing'!AW12)/'1. Landuse'!$C$20)*('1. Landuse'!$I$6*'1. Landuse'!$I$9)</f>
        <v>0</v>
      </c>
      <c r="AZ9" s="111">
        <f>(('4. Dev Phasing'!AX12)/'1. Landuse'!$C$20)*('1. Landuse'!$I$6*'1. Landuse'!$I$9)</f>
        <v>0</v>
      </c>
      <c r="BA9" s="111">
        <f>(('4. Dev Phasing'!AY12)/'1. Landuse'!$C$20)*('1. Landuse'!$I$6*'1. Landuse'!$I$9)</f>
        <v>0</v>
      </c>
      <c r="BB9" s="111">
        <f>(('4. Dev Phasing'!AZ12)/'1. Landuse'!$C$20)*('1. Landuse'!$I$6*'1. Landuse'!$I$9)</f>
        <v>0</v>
      </c>
      <c r="BC9" s="590">
        <f>(('4. Dev Phasing'!BA12)/'1. Landuse'!$C$20)*('1. Landuse'!$I$6*'1. Landuse'!$I$9)</f>
        <v>0</v>
      </c>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row>
    <row r="10" spans="1:90" s="2" customFormat="1" ht="15" customHeight="1">
      <c r="B10" s="116" t="s">
        <v>175</v>
      </c>
      <c r="C10" s="117"/>
      <c r="D10" s="523">
        <f>SUM(F10:CK10)</f>
        <v>101.50951074244894</v>
      </c>
      <c r="E10" s="97"/>
      <c r="F10" s="111">
        <f>(('4. Dev Phasing'!D12)/'1. Landuse'!$C$20)*('1. Landuse'!$I$11*'1. Landuse'!$I$12)</f>
        <v>0</v>
      </c>
      <c r="G10" s="111">
        <f>(('4. Dev Phasing'!E12)/'1. Landuse'!$C$20)*('1. Landuse'!$I$11*'1. Landuse'!$I$12)</f>
        <v>3.1074244897959176E-4</v>
      </c>
      <c r="H10" s="111">
        <f>(('4. Dev Phasing'!F12)/'1. Landuse'!$C$20)*('1. Landuse'!$I$11*'1. Landuse'!$I$12)</f>
        <v>0</v>
      </c>
      <c r="I10" s="111">
        <f>(('4. Dev Phasing'!G12)/'1. Landuse'!$C$20)*('1. Landuse'!$I$11*'1. Landuse'!$I$12)</f>
        <v>0</v>
      </c>
      <c r="J10" s="111">
        <f>(('4. Dev Phasing'!H12)/'1. Landuse'!$C$20)*('1. Landuse'!$I$11*'1. Landuse'!$I$12)</f>
        <v>0</v>
      </c>
      <c r="K10" s="111">
        <f>(('4. Dev Phasing'!I12)/'1. Landuse'!$C$20)*('1. Landuse'!$I$11*'1. Landuse'!$I$12)</f>
        <v>0</v>
      </c>
      <c r="L10" s="111">
        <f>(('4. Dev Phasing'!J12)/'1. Landuse'!$C$20)*('1. Landuse'!$I$11*'1. Landuse'!$I$12)</f>
        <v>0</v>
      </c>
      <c r="M10" s="111">
        <f>(('4. Dev Phasing'!K12)/'1. Landuse'!$C$20)*('1. Landuse'!$I$11*'1. Landuse'!$I$12)</f>
        <v>0</v>
      </c>
      <c r="N10" s="111">
        <f>(('4. Dev Phasing'!L12)/'1. Landuse'!$C$20)*('1. Landuse'!$I$11*'1. Landuse'!$I$12)</f>
        <v>0</v>
      </c>
      <c r="O10" s="111">
        <f>'1. Landuse'!$D10*'1. Landuse'!$I11*'1. Landuse'!$I12*O7/$D7</f>
        <v>0</v>
      </c>
      <c r="P10" s="111">
        <f>'1. Landuse'!$D10*'1. Landuse'!$I11*'1. Landuse'!$I12*P7/$D7</f>
        <v>0</v>
      </c>
      <c r="Q10" s="111">
        <f>'1. Landuse'!$D10*'1. Landuse'!$I11*'1. Landuse'!$I12*Q7/$D7</f>
        <v>0</v>
      </c>
      <c r="R10" s="111">
        <f>'1. Landuse'!$D10*'1. Landuse'!$I11*'1. Landuse'!$I12*R7/$D7</f>
        <v>0</v>
      </c>
      <c r="S10" s="111">
        <f>'4. Dev Phasing'!Q7/'1. Landuse'!$C21*'1. Landuse'!$D10*'1. Landuse'!$I11*'1. Landuse'!$I12</f>
        <v>0.72506571428571431</v>
      </c>
      <c r="T10" s="111">
        <f>'4. Dev Phasing'!R7/'1. Landuse'!$C21*'1. Landuse'!$D10*'1. Landuse'!$I11*'1. Landuse'!$I12</f>
        <v>1.4501314285714286</v>
      </c>
      <c r="U10" s="111">
        <f>'4. Dev Phasing'!S7/'1. Landuse'!$C21*'1. Landuse'!$D10*'1. Landuse'!$I11*'1. Landuse'!$I12</f>
        <v>1.4501314285714286</v>
      </c>
      <c r="V10" s="111">
        <f>'4. Dev Phasing'!T7/'1. Landuse'!$C21*'1. Landuse'!$D10*'1. Landuse'!$I11*'1. Landuse'!$I12</f>
        <v>1.4501314285714286</v>
      </c>
      <c r="W10" s="111">
        <f>'4. Dev Phasing'!U7/'1. Landuse'!$C21*'1. Landuse'!$D10*'1. Landuse'!$I11*'1. Landuse'!$I12</f>
        <v>1.4501314285714286</v>
      </c>
      <c r="X10" s="111">
        <f>'4. Dev Phasing'!V7/'1. Landuse'!$C21*'1. Landuse'!$D10*'1. Landuse'!$I11*'1. Landuse'!$I12</f>
        <v>1.4501314285714286</v>
      </c>
      <c r="Y10" s="111">
        <f>'4. Dev Phasing'!W7/'1. Landuse'!$C21*'1. Landuse'!$D10*'1. Landuse'!$I11*'1. Landuse'!$I12</f>
        <v>1.4501314285714286</v>
      </c>
      <c r="Z10" s="111">
        <f>'4. Dev Phasing'!X7/'1. Landuse'!$C21*'1. Landuse'!$D10*'1. Landuse'!$I11*'1. Landuse'!$I12</f>
        <v>1.4501314285714286</v>
      </c>
      <c r="AA10" s="111">
        <f>'4. Dev Phasing'!Y7/'1. Landuse'!$C21*'1. Landuse'!$D10*'1. Landuse'!$I11*'1. Landuse'!$I12</f>
        <v>1.4501314285714286</v>
      </c>
      <c r="AB10" s="111">
        <f>'4. Dev Phasing'!Z7/'1. Landuse'!$C21*'1. Landuse'!$D10*'1. Landuse'!$I11*'1. Landuse'!$I12</f>
        <v>1.4501314285714286</v>
      </c>
      <c r="AC10" s="111">
        <f>'4. Dev Phasing'!AA7/'1. Landuse'!$C21*'1. Landuse'!$D10*'1. Landuse'!$I11*'1. Landuse'!$I12</f>
        <v>1.4501314285714286</v>
      </c>
      <c r="AD10" s="111">
        <f>'4. Dev Phasing'!AB7/'1. Landuse'!$C21*'1. Landuse'!$D10*'1. Landuse'!$I11*'1. Landuse'!$I12</f>
        <v>1.4501314285714286</v>
      </c>
      <c r="AE10" s="111">
        <f>'4. Dev Phasing'!AC7/'1. Landuse'!$C21*'1. Landuse'!$D10*'1. Landuse'!$I11*'1. Landuse'!$I12</f>
        <v>1.4501314285714286</v>
      </c>
      <c r="AF10" s="111">
        <f>'4. Dev Phasing'!AD7/'1. Landuse'!$C21*'1. Landuse'!$D10*'1. Landuse'!$I11*'1. Landuse'!$I12</f>
        <v>1.4501314285714286</v>
      </c>
      <c r="AG10" s="111">
        <f>'4. Dev Phasing'!AE7/'1. Landuse'!$C21*'1. Landuse'!$D10*'1. Landuse'!$I11*'1. Landuse'!$I12</f>
        <v>1.4501314285714286</v>
      </c>
      <c r="AH10" s="111">
        <f>'4. Dev Phasing'!AF7/'1. Landuse'!$C21*'1. Landuse'!$D10*'1. Landuse'!$I11*'1. Landuse'!$I12</f>
        <v>1.4501314285714286</v>
      </c>
      <c r="AI10" s="111">
        <f>'4. Dev Phasing'!AG7/'1. Landuse'!$C21*'1. Landuse'!$D10*'1. Landuse'!$I11*'1. Landuse'!$I12</f>
        <v>1.4501314285714286</v>
      </c>
      <c r="AJ10" s="111">
        <f>'4. Dev Phasing'!AH7/'1. Landuse'!$C21*'1. Landuse'!$D10*'1. Landuse'!$I11*'1. Landuse'!$I12</f>
        <v>1.4501314285714286</v>
      </c>
      <c r="AK10" s="111">
        <f>'4. Dev Phasing'!AI7/'1. Landuse'!$C21*'1. Landuse'!$D10*'1. Landuse'!$I11*'1. Landuse'!$I12</f>
        <v>1.4501314285714286</v>
      </c>
      <c r="AL10" s="111">
        <f>'4. Dev Phasing'!AJ7/'1. Landuse'!$C21*'1. Landuse'!$D10*'1. Landuse'!$I11*'1. Landuse'!$I12</f>
        <v>1.4501314285714286</v>
      </c>
      <c r="AM10" s="111">
        <f>'4. Dev Phasing'!AK7/'1. Landuse'!$C21*'1. Landuse'!$D10*'1. Landuse'!$I11*'1. Landuse'!$I12</f>
        <v>1.4501314285714286</v>
      </c>
      <c r="AN10" s="111">
        <f>'4. Dev Phasing'!AL7/'1. Landuse'!$C21*'1. Landuse'!$D10*'1. Landuse'!$I11*'1. Landuse'!$I12</f>
        <v>1.4501314285714286</v>
      </c>
      <c r="AO10" s="111">
        <f>'4. Dev Phasing'!AM7/'1. Landuse'!$C21*'1. Landuse'!$D10*'1. Landuse'!$I11*'1. Landuse'!$I12</f>
        <v>1.4501314285714286</v>
      </c>
      <c r="AP10" s="111">
        <f>'4. Dev Phasing'!AN7/'1. Landuse'!$C21*'1. Landuse'!$D10*'1. Landuse'!$I11*'1. Landuse'!$I12</f>
        <v>1.4501314285714286</v>
      </c>
      <c r="AQ10" s="111">
        <f>'4. Dev Phasing'!AO7/'1. Landuse'!$C21*'1. Landuse'!$D10*'1. Landuse'!$I11*'1. Landuse'!$I12</f>
        <v>1.4501314285714286</v>
      </c>
      <c r="AR10" s="111">
        <f>'4. Dev Phasing'!AP7/'1. Landuse'!$C21*'1. Landuse'!$D10*'1. Landuse'!$I11*'1. Landuse'!$I12</f>
        <v>1.4501314285714286</v>
      </c>
      <c r="AS10" s="111">
        <f>'4. Dev Phasing'!AQ7/'1. Landuse'!$C21*'1. Landuse'!$D10*'1. Landuse'!$I11*'1. Landuse'!$I12</f>
        <v>1.4501314285714286</v>
      </c>
      <c r="AT10" s="111">
        <f>'4. Dev Phasing'!AR7/'1. Landuse'!$C21*'1. Landuse'!$D10*'1. Landuse'!$I11*'1. Landuse'!$I12</f>
        <v>1.4501314285714286</v>
      </c>
      <c r="AU10" s="111">
        <f>'4. Dev Phasing'!AS7/'1. Landuse'!$C21*'1. Landuse'!$D10*'1. Landuse'!$I11*'1. Landuse'!$I12</f>
        <v>1.4501314285714286</v>
      </c>
      <c r="AV10" s="111">
        <f>'4. Dev Phasing'!AT7/'1. Landuse'!$C21*'1. Landuse'!$D10*'1. Landuse'!$I11*'1. Landuse'!$I12</f>
        <v>1.4501314285714286</v>
      </c>
      <c r="AW10" s="111">
        <f>'4. Dev Phasing'!AU7/'1. Landuse'!$C21*'1. Landuse'!$D10*'1. Landuse'!$I11*'1. Landuse'!$I12</f>
        <v>1.4501314285714286</v>
      </c>
      <c r="AX10" s="111">
        <f>'4. Dev Phasing'!AV7/'1. Landuse'!$C21*'1. Landuse'!$D10*'1. Landuse'!$I11*'1. Landuse'!$I12</f>
        <v>1.4501314285714286</v>
      </c>
      <c r="AY10" s="111">
        <f>'4. Dev Phasing'!AW7/'1. Landuse'!$C21*'1. Landuse'!$D10*'1. Landuse'!$I11*'1. Landuse'!$I12</f>
        <v>1.4501314285714286</v>
      </c>
      <c r="AZ10" s="111">
        <f>'4. Dev Phasing'!AX7/'1. Landuse'!$C21*'1. Landuse'!$D10*'1. Landuse'!$I11*'1. Landuse'!$I12</f>
        <v>1.4501314285714286</v>
      </c>
      <c r="BA10" s="111">
        <f>'4. Dev Phasing'!AY7/'1. Landuse'!$C21*'1. Landuse'!$D10*'1. Landuse'!$I11*'1. Landuse'!$I12</f>
        <v>1.4501314285714286</v>
      </c>
      <c r="BB10" s="111">
        <f>'4. Dev Phasing'!AZ7/'1. Landuse'!$C21*'1. Landuse'!$D10*'1. Landuse'!$I11*'1. Landuse'!$I12</f>
        <v>1.4501314285714286</v>
      </c>
      <c r="BC10" s="590">
        <f>'4. Dev Phasing'!BA7/'1. Landuse'!$C21*'1. Landuse'!$D10*'1. Landuse'!$I11*'1. Landuse'!$I12</f>
        <v>1.4501314285714286</v>
      </c>
      <c r="BD10" s="111">
        <f>'4. Dev Phasing'!BB7/'1. Landuse'!$C21*'1. Landuse'!$D10*'1. Landuse'!$I11*'1. Landuse'!$I12</f>
        <v>1.4501314285714286</v>
      </c>
      <c r="BE10" s="111">
        <f>'4. Dev Phasing'!BC7/'1. Landuse'!$C21*'1. Landuse'!$D10*'1. Landuse'!$I11*'1. Landuse'!$I12</f>
        <v>1.4501314285714286</v>
      </c>
      <c r="BF10" s="111">
        <f>'4. Dev Phasing'!BD7/'1. Landuse'!$C21*'1. Landuse'!$D10*'1. Landuse'!$I11*'1. Landuse'!$I12</f>
        <v>1.4501314285714286</v>
      </c>
      <c r="BG10" s="111">
        <f>'4. Dev Phasing'!BE7/'1. Landuse'!$C21*'1. Landuse'!$D10*'1. Landuse'!$I11*'1. Landuse'!$I12</f>
        <v>1.4501314285714286</v>
      </c>
      <c r="BH10" s="111">
        <f>'4. Dev Phasing'!BF7/'1. Landuse'!$C21*'1. Landuse'!$D10*'1. Landuse'!$I11*'1. Landuse'!$I12</f>
        <v>1.4501314285714286</v>
      </c>
      <c r="BI10" s="111">
        <f>'4. Dev Phasing'!BG7/'1. Landuse'!$C21*'1. Landuse'!$D10*'1. Landuse'!$I11*'1. Landuse'!$I12</f>
        <v>1.4501314285714286</v>
      </c>
      <c r="BJ10" s="111">
        <f>'4. Dev Phasing'!BH7/'1. Landuse'!$C21*'1. Landuse'!$D10*'1. Landuse'!$I11*'1. Landuse'!$I12</f>
        <v>1.4501314285714286</v>
      </c>
      <c r="BK10" s="111">
        <f>'4. Dev Phasing'!BI7/'1. Landuse'!$C21*'1. Landuse'!$D10*'1. Landuse'!$I11*'1. Landuse'!$I12</f>
        <v>1.4501314285714286</v>
      </c>
      <c r="BL10" s="111">
        <f>'4. Dev Phasing'!BJ7/'1. Landuse'!$C21*'1. Landuse'!$D10*'1. Landuse'!$I11*'1. Landuse'!$I12</f>
        <v>1.4501314285714286</v>
      </c>
      <c r="BM10" s="111">
        <f>'4. Dev Phasing'!BK7/'1. Landuse'!$C21*'1. Landuse'!$D10*'1. Landuse'!$I11*'1. Landuse'!$I12</f>
        <v>1.4501314285714286</v>
      </c>
      <c r="BN10" s="111">
        <f>'4. Dev Phasing'!BL7/'1. Landuse'!$C21*'1. Landuse'!$D10*'1. Landuse'!$I11*'1. Landuse'!$I12</f>
        <v>1.4501314285714286</v>
      </c>
      <c r="BO10" s="111">
        <f>'4. Dev Phasing'!BM7/'1. Landuse'!$C21*'1. Landuse'!$D10*'1. Landuse'!$I11*'1. Landuse'!$I12</f>
        <v>1.4501314285714286</v>
      </c>
      <c r="BP10" s="111">
        <f>'4. Dev Phasing'!BN7/'1. Landuse'!$C21*'1. Landuse'!$D10*'1. Landuse'!$I11*'1. Landuse'!$I12</f>
        <v>1.4501314285714286</v>
      </c>
      <c r="BQ10" s="111">
        <f>'4. Dev Phasing'!BO7/'1. Landuse'!$C21*'1. Landuse'!$D10*'1. Landuse'!$I11*'1. Landuse'!$I12</f>
        <v>1.4501314285714286</v>
      </c>
      <c r="BR10" s="111">
        <f>'4. Dev Phasing'!BP7/'1. Landuse'!$C21*'1. Landuse'!$D10*'1. Landuse'!$I11*'1. Landuse'!$I12</f>
        <v>1.4501314285714286</v>
      </c>
      <c r="BS10" s="111">
        <f>'4. Dev Phasing'!BQ7/'1. Landuse'!$C21*'1. Landuse'!$D10*'1. Landuse'!$I11*'1. Landuse'!$I12</f>
        <v>1.4501314285714286</v>
      </c>
      <c r="BT10" s="111">
        <f>'4. Dev Phasing'!BR7/'1. Landuse'!$C21*'1. Landuse'!$D10*'1. Landuse'!$I11*'1. Landuse'!$I12</f>
        <v>1.4501314285714286</v>
      </c>
      <c r="BU10" s="111">
        <f>'4. Dev Phasing'!BS7/'1. Landuse'!$C21*'1. Landuse'!$D10*'1. Landuse'!$I11*'1. Landuse'!$I12</f>
        <v>1.4501314285714286</v>
      </c>
      <c r="BV10" s="111">
        <f>'4. Dev Phasing'!BT7/'1. Landuse'!$C21*'1. Landuse'!$D10*'1. Landuse'!$I11*'1. Landuse'!$I12</f>
        <v>1.4501314285714286</v>
      </c>
      <c r="BW10" s="111">
        <f>'4. Dev Phasing'!BU7/'1. Landuse'!$C21*'1. Landuse'!$D10*'1. Landuse'!$I11*'1. Landuse'!$I12</f>
        <v>1.4501314285714286</v>
      </c>
      <c r="BX10" s="111">
        <f>'4. Dev Phasing'!BV7/'1. Landuse'!$C21*'1. Landuse'!$D10*'1. Landuse'!$I11*'1. Landuse'!$I12</f>
        <v>1.4501314285714286</v>
      </c>
      <c r="BY10" s="111">
        <f>'4. Dev Phasing'!BW7/'1. Landuse'!$C21*'1. Landuse'!$D10*'1. Landuse'!$I11*'1. Landuse'!$I12</f>
        <v>1.4501314285714286</v>
      </c>
      <c r="BZ10" s="111">
        <f>'4. Dev Phasing'!BX7/'1. Landuse'!$C21*'1. Landuse'!$D10*'1. Landuse'!$I11*'1. Landuse'!$I12</f>
        <v>1.4501314285714286</v>
      </c>
      <c r="CA10" s="111">
        <f>'4. Dev Phasing'!BY7/'1. Landuse'!$C21*'1. Landuse'!$D10*'1. Landuse'!$I11*'1. Landuse'!$I12</f>
        <v>1.4501314285714286</v>
      </c>
      <c r="CB10" s="111">
        <f>'4. Dev Phasing'!BZ7/'1. Landuse'!$C21*'1. Landuse'!$D10*'1. Landuse'!$I11*'1. Landuse'!$I12</f>
        <v>1.4501314285714286</v>
      </c>
      <c r="CC10" s="111">
        <f>'4. Dev Phasing'!CA7/'1. Landuse'!$C21*'1. Landuse'!$D10*'1. Landuse'!$I11*'1. Landuse'!$I12</f>
        <v>1.4501314285714286</v>
      </c>
      <c r="CD10" s="111">
        <f>'4. Dev Phasing'!CB7/'1. Landuse'!$C21*'1. Landuse'!$D10*'1. Landuse'!$I11*'1. Landuse'!$I12</f>
        <v>1.4501314285714286</v>
      </c>
      <c r="CE10" s="111">
        <f>'4. Dev Phasing'!CC7/'1. Landuse'!$C21*'1. Landuse'!$D10*'1. Landuse'!$I11*'1. Landuse'!$I12</f>
        <v>1.4501314285714286</v>
      </c>
      <c r="CF10" s="111">
        <f>'4. Dev Phasing'!CD7/'1. Landuse'!$C21*'1. Landuse'!$D10*'1. Landuse'!$I11*'1. Landuse'!$I12</f>
        <v>1.4501314285714286</v>
      </c>
      <c r="CG10" s="111">
        <f>'4. Dev Phasing'!CE7/'1. Landuse'!$C21*'1. Landuse'!$D10*'1. Landuse'!$I11*'1. Landuse'!$I12</f>
        <v>1.4501314285714286</v>
      </c>
      <c r="CH10" s="111">
        <f>'4. Dev Phasing'!CF7/'1. Landuse'!$C21*'1. Landuse'!$D10*'1. Landuse'!$I11*'1. Landuse'!$I12</f>
        <v>1.4501314285714286</v>
      </c>
      <c r="CI10" s="111">
        <f>'4. Dev Phasing'!CG7/'1. Landuse'!$C21*'1. Landuse'!$D10*'1. Landuse'!$I11*'1. Landuse'!$I12</f>
        <v>1.4501314285714286</v>
      </c>
      <c r="CJ10" s="111">
        <f>'4. Dev Phasing'!CH7/'1. Landuse'!$C21*'1. Landuse'!$D10*'1. Landuse'!$I11*'1. Landuse'!$I12</f>
        <v>1.4501314285714286</v>
      </c>
      <c r="CK10" s="111">
        <f>'4. Dev Phasing'!CI7/'1. Landuse'!$C21*'1. Landuse'!$D10*'1. Landuse'!$I11*'1. Landuse'!$I12</f>
        <v>0.72506571428571431</v>
      </c>
    </row>
    <row r="11" spans="1:90" s="2" customFormat="1" ht="15" customHeight="1">
      <c r="B11" s="116" t="s">
        <v>176</v>
      </c>
      <c r="C11" s="117"/>
      <c r="D11" s="523">
        <f>SUM(F11:CK11)</f>
        <v>67.673007161632697</v>
      </c>
      <c r="E11" s="97"/>
      <c r="F11" s="111">
        <f>(('4. Dev Phasing'!D12)/'1. Landuse'!$C$20)*('1. Landuse'!$I$11*'1. Landuse'!$I$13)</f>
        <v>0</v>
      </c>
      <c r="G11" s="111">
        <f>(('4. Dev Phasing'!E12)/'1. Landuse'!$C$20)*('1. Landuse'!$I$11*'1. Landuse'!$I$13)</f>
        <v>2.0716163265306118E-4</v>
      </c>
      <c r="H11" s="111">
        <f>(('4. Dev Phasing'!F12)/'1. Landuse'!$C$20)*('1. Landuse'!$I$11*'1. Landuse'!$I$13)</f>
        <v>0</v>
      </c>
      <c r="I11" s="111">
        <f>(('4. Dev Phasing'!G12)/'1. Landuse'!$C$20)*('1. Landuse'!$I$11*'1. Landuse'!$I$13)</f>
        <v>0</v>
      </c>
      <c r="J11" s="111">
        <f>(('4. Dev Phasing'!H12)/'1. Landuse'!$C$20)*('1. Landuse'!$I$11*'1. Landuse'!$I$13)</f>
        <v>0</v>
      </c>
      <c r="K11" s="111">
        <f>(('4. Dev Phasing'!I12)/'1. Landuse'!$C$20)*('1. Landuse'!$I$11*'1. Landuse'!$I$13)</f>
        <v>0</v>
      </c>
      <c r="L11" s="111">
        <f>(('4. Dev Phasing'!J12)/'1. Landuse'!$C$20)*('1. Landuse'!$I$11*'1. Landuse'!$I$13)</f>
        <v>0</v>
      </c>
      <c r="M11" s="111">
        <f>(('4. Dev Phasing'!K12)/'1. Landuse'!$C$20)*('1. Landuse'!$I$11*'1. Landuse'!$I$13)</f>
        <v>0</v>
      </c>
      <c r="N11" s="111">
        <f>(('4. Dev Phasing'!L12)/'1. Landuse'!$C$20)*('1. Landuse'!$I$11*'1. Landuse'!$I$13)</f>
        <v>0</v>
      </c>
      <c r="O11" s="111">
        <f>'1. Landuse'!$D10*'1. Landuse'!$I11*'1. Landuse'!$I13*'6. Baseline Appraisal'!O7/'6. Baseline Appraisal'!$D7</f>
        <v>0</v>
      </c>
      <c r="P11" s="111">
        <f>'1. Landuse'!$D10*'1. Landuse'!$I11*'1. Landuse'!$I13*'6. Baseline Appraisal'!P7/'6. Baseline Appraisal'!$D7</f>
        <v>0</v>
      </c>
      <c r="Q11" s="111">
        <f>'1. Landuse'!$D10*'1. Landuse'!$I11*'1. Landuse'!$I13*'6. Baseline Appraisal'!Q7/'6. Baseline Appraisal'!$D7</f>
        <v>0</v>
      </c>
      <c r="R11" s="111">
        <f>'1. Landuse'!$D10*'1. Landuse'!$I11*'1. Landuse'!$I13*'6. Baseline Appraisal'!R7/'6. Baseline Appraisal'!$D7</f>
        <v>0</v>
      </c>
      <c r="S11" s="111">
        <f>'4. Dev Phasing'!Q7/'1. Landuse'!$C21*'1. Landuse'!$D10*'1. Landuse'!$I11*'1. Landuse'!$I13</f>
        <v>0.48337714285714289</v>
      </c>
      <c r="T11" s="111">
        <f>'4. Dev Phasing'!R7/'1. Landuse'!$C21*'1. Landuse'!$D10*'1. Landuse'!$I11*'1. Landuse'!$I13</f>
        <v>0.96675428571428579</v>
      </c>
      <c r="U11" s="111">
        <f>'4. Dev Phasing'!S7/'1. Landuse'!$C21*'1. Landuse'!$D10*'1. Landuse'!$I11*'1. Landuse'!$I13</f>
        <v>0.96675428571428579</v>
      </c>
      <c r="V11" s="111">
        <f>'4. Dev Phasing'!T7/'1. Landuse'!$C21*'1. Landuse'!$D10*'1. Landuse'!$I11*'1. Landuse'!$I13</f>
        <v>0.96675428571428579</v>
      </c>
      <c r="W11" s="111">
        <f>'4. Dev Phasing'!U7/'1. Landuse'!$C21*'1. Landuse'!$D10*'1. Landuse'!$I11*'1. Landuse'!$I13</f>
        <v>0.96675428571428579</v>
      </c>
      <c r="X11" s="111">
        <f>'4. Dev Phasing'!V7/'1. Landuse'!$C21*'1. Landuse'!$D10*'1. Landuse'!$I11*'1. Landuse'!$I13</f>
        <v>0.96675428571428579</v>
      </c>
      <c r="Y11" s="111">
        <f>'4. Dev Phasing'!W7/'1. Landuse'!$C21*'1. Landuse'!$D10*'1. Landuse'!$I11*'1. Landuse'!$I13</f>
        <v>0.96675428571428579</v>
      </c>
      <c r="Z11" s="111">
        <f>'4. Dev Phasing'!X7/'1. Landuse'!$C21*'1. Landuse'!$D10*'1. Landuse'!$I11*'1. Landuse'!$I13</f>
        <v>0.96675428571428579</v>
      </c>
      <c r="AA11" s="111">
        <f>'4. Dev Phasing'!Y7/'1. Landuse'!$C21*'1. Landuse'!$D10*'1. Landuse'!$I11*'1. Landuse'!$I13</f>
        <v>0.96675428571428579</v>
      </c>
      <c r="AB11" s="111">
        <f>'4. Dev Phasing'!Z7/'1. Landuse'!$C21*'1. Landuse'!$D10*'1. Landuse'!$I11*'1. Landuse'!$I13</f>
        <v>0.96675428571428579</v>
      </c>
      <c r="AC11" s="111">
        <f>'4. Dev Phasing'!AA7/'1. Landuse'!$C21*'1. Landuse'!$D10*'1. Landuse'!$I11*'1. Landuse'!$I13</f>
        <v>0.96675428571428579</v>
      </c>
      <c r="AD11" s="111">
        <f>'4. Dev Phasing'!AB7/'1. Landuse'!$C21*'1. Landuse'!$D10*'1. Landuse'!$I11*'1. Landuse'!$I13</f>
        <v>0.96675428571428579</v>
      </c>
      <c r="AE11" s="111">
        <f>'4. Dev Phasing'!AC7/'1. Landuse'!$C21*'1. Landuse'!$D10*'1. Landuse'!$I11*'1. Landuse'!$I13</f>
        <v>0.96675428571428579</v>
      </c>
      <c r="AF11" s="111">
        <f>'4. Dev Phasing'!AD7/'1. Landuse'!$C21*'1. Landuse'!$D10*'1. Landuse'!$I11*'1. Landuse'!$I13</f>
        <v>0.96675428571428579</v>
      </c>
      <c r="AG11" s="111">
        <f>'4. Dev Phasing'!AE7/'1. Landuse'!$C21*'1. Landuse'!$D10*'1. Landuse'!$I11*'1. Landuse'!$I13</f>
        <v>0.96675428571428579</v>
      </c>
      <c r="AH11" s="111">
        <f>'4. Dev Phasing'!AF7/'1. Landuse'!$C21*'1. Landuse'!$D10*'1. Landuse'!$I11*'1. Landuse'!$I13</f>
        <v>0.96675428571428579</v>
      </c>
      <c r="AI11" s="111">
        <f>'4. Dev Phasing'!AG7/'1. Landuse'!$C21*'1. Landuse'!$D10*'1. Landuse'!$I11*'1. Landuse'!$I13</f>
        <v>0.96675428571428579</v>
      </c>
      <c r="AJ11" s="111">
        <f>'4. Dev Phasing'!AH7/'1. Landuse'!$C21*'1. Landuse'!$D10*'1. Landuse'!$I11*'1. Landuse'!$I13</f>
        <v>0.96675428571428579</v>
      </c>
      <c r="AK11" s="111">
        <f>'4. Dev Phasing'!AI7/'1. Landuse'!$C21*'1. Landuse'!$D10*'1. Landuse'!$I11*'1. Landuse'!$I13</f>
        <v>0.96675428571428579</v>
      </c>
      <c r="AL11" s="111">
        <f>'4. Dev Phasing'!AJ7/'1. Landuse'!$C21*'1. Landuse'!$D10*'1. Landuse'!$I11*'1. Landuse'!$I13</f>
        <v>0.96675428571428579</v>
      </c>
      <c r="AM11" s="111">
        <f>'4. Dev Phasing'!AK7/'1. Landuse'!$C21*'1. Landuse'!$D10*'1. Landuse'!$I11*'1. Landuse'!$I13</f>
        <v>0.96675428571428579</v>
      </c>
      <c r="AN11" s="111">
        <f>'4. Dev Phasing'!AL7/'1. Landuse'!$C21*'1. Landuse'!$D10*'1. Landuse'!$I11*'1. Landuse'!$I13</f>
        <v>0.96675428571428579</v>
      </c>
      <c r="AO11" s="111">
        <f>'4. Dev Phasing'!AM7/'1. Landuse'!$C21*'1. Landuse'!$D10*'1. Landuse'!$I11*'1. Landuse'!$I13</f>
        <v>0.96675428571428579</v>
      </c>
      <c r="AP11" s="111">
        <f>'4. Dev Phasing'!AN7/'1. Landuse'!$C21*'1. Landuse'!$D10*'1. Landuse'!$I11*'1. Landuse'!$I13</f>
        <v>0.96675428571428579</v>
      </c>
      <c r="AQ11" s="111">
        <f>'4. Dev Phasing'!AO7/'1. Landuse'!$C21*'1. Landuse'!$D10*'1. Landuse'!$I11*'1. Landuse'!$I13</f>
        <v>0.96675428571428579</v>
      </c>
      <c r="AR11" s="111">
        <f>'4. Dev Phasing'!AP7/'1. Landuse'!$C21*'1. Landuse'!$D10*'1. Landuse'!$I11*'1. Landuse'!$I13</f>
        <v>0.96675428571428579</v>
      </c>
      <c r="AS11" s="111">
        <f>'4. Dev Phasing'!AQ7/'1. Landuse'!$C21*'1. Landuse'!$D10*'1. Landuse'!$I11*'1. Landuse'!$I13</f>
        <v>0.96675428571428579</v>
      </c>
      <c r="AT11" s="111">
        <f>'4. Dev Phasing'!AR7/'1. Landuse'!$C21*'1. Landuse'!$D10*'1. Landuse'!$I11*'1. Landuse'!$I13</f>
        <v>0.96675428571428579</v>
      </c>
      <c r="AU11" s="111">
        <f>'4. Dev Phasing'!AS7/'1. Landuse'!$C21*'1. Landuse'!$D10*'1. Landuse'!$I11*'1. Landuse'!$I13</f>
        <v>0.96675428571428579</v>
      </c>
      <c r="AV11" s="111">
        <f>'4. Dev Phasing'!AT7/'1. Landuse'!$C21*'1. Landuse'!$D10*'1. Landuse'!$I11*'1. Landuse'!$I13</f>
        <v>0.96675428571428579</v>
      </c>
      <c r="AW11" s="111">
        <f>'4. Dev Phasing'!AU7/'1. Landuse'!$C21*'1. Landuse'!$D10*'1. Landuse'!$I11*'1. Landuse'!$I13</f>
        <v>0.96675428571428579</v>
      </c>
      <c r="AX11" s="111">
        <f>'4. Dev Phasing'!AV7/'1. Landuse'!$C21*'1. Landuse'!$D10*'1. Landuse'!$I11*'1. Landuse'!$I13</f>
        <v>0.96675428571428579</v>
      </c>
      <c r="AY11" s="111">
        <f>'4. Dev Phasing'!AW7/'1. Landuse'!$C21*'1. Landuse'!$D10*'1. Landuse'!$I11*'1. Landuse'!$I13</f>
        <v>0.96675428571428579</v>
      </c>
      <c r="AZ11" s="111">
        <f>'4. Dev Phasing'!AX7/'1. Landuse'!$C21*'1. Landuse'!$D10*'1. Landuse'!$I11*'1. Landuse'!$I13</f>
        <v>0.96675428571428579</v>
      </c>
      <c r="BA11" s="111">
        <f>'4. Dev Phasing'!AY7/'1. Landuse'!$C21*'1. Landuse'!$D10*'1. Landuse'!$I11*'1. Landuse'!$I13</f>
        <v>0.96675428571428579</v>
      </c>
      <c r="BB11" s="111">
        <f>'4. Dev Phasing'!AZ7/'1. Landuse'!$C21*'1. Landuse'!$D10*'1. Landuse'!$I11*'1. Landuse'!$I13</f>
        <v>0.96675428571428579</v>
      </c>
      <c r="BC11" s="590">
        <f>'4. Dev Phasing'!BA7/'1. Landuse'!$C21*'1. Landuse'!$D10*'1. Landuse'!$I11*'1. Landuse'!$I13</f>
        <v>0.96675428571428579</v>
      </c>
      <c r="BD11" s="111">
        <f>'4. Dev Phasing'!BB7/'1. Landuse'!$C21*'1. Landuse'!$D10*'1. Landuse'!$I11*'1. Landuse'!$I13</f>
        <v>0.96675428571428579</v>
      </c>
      <c r="BE11" s="111">
        <f>'4. Dev Phasing'!BC7/'1. Landuse'!$C21*'1. Landuse'!$D10*'1. Landuse'!$I11*'1. Landuse'!$I13</f>
        <v>0.96675428571428579</v>
      </c>
      <c r="BF11" s="111">
        <f>'4. Dev Phasing'!BD7/'1. Landuse'!$C21*'1. Landuse'!$D10*'1. Landuse'!$I11*'1. Landuse'!$I13</f>
        <v>0.96675428571428579</v>
      </c>
      <c r="BG11" s="111">
        <f>'4. Dev Phasing'!BE7/'1. Landuse'!$C21*'1. Landuse'!$D10*'1. Landuse'!$I11*'1. Landuse'!$I13</f>
        <v>0.96675428571428579</v>
      </c>
      <c r="BH11" s="111">
        <f>'4. Dev Phasing'!BF7/'1. Landuse'!$C21*'1. Landuse'!$D10*'1. Landuse'!$I11*'1. Landuse'!$I13</f>
        <v>0.96675428571428579</v>
      </c>
      <c r="BI11" s="111">
        <f>'4. Dev Phasing'!BG7/'1. Landuse'!$C21*'1. Landuse'!$D10*'1. Landuse'!$I11*'1. Landuse'!$I13</f>
        <v>0.96675428571428579</v>
      </c>
      <c r="BJ11" s="111">
        <f>'4. Dev Phasing'!BH7/'1. Landuse'!$C21*'1. Landuse'!$D10*'1. Landuse'!$I11*'1. Landuse'!$I13</f>
        <v>0.96675428571428579</v>
      </c>
      <c r="BK11" s="111">
        <f>'4. Dev Phasing'!BI7/'1. Landuse'!$C21*'1. Landuse'!$D10*'1. Landuse'!$I11*'1. Landuse'!$I13</f>
        <v>0.96675428571428579</v>
      </c>
      <c r="BL11" s="111">
        <f>'4. Dev Phasing'!BJ7/'1. Landuse'!$C21*'1. Landuse'!$D10*'1. Landuse'!$I11*'1. Landuse'!$I13</f>
        <v>0.96675428571428579</v>
      </c>
      <c r="BM11" s="111">
        <f>'4. Dev Phasing'!BK7/'1. Landuse'!$C21*'1. Landuse'!$D10*'1. Landuse'!$I11*'1. Landuse'!$I13</f>
        <v>0.96675428571428579</v>
      </c>
      <c r="BN11" s="111">
        <f>'4. Dev Phasing'!BL7/'1. Landuse'!$C21*'1. Landuse'!$D10*'1. Landuse'!$I11*'1. Landuse'!$I13</f>
        <v>0.96675428571428579</v>
      </c>
      <c r="BO11" s="111">
        <f>'4. Dev Phasing'!BM7/'1. Landuse'!$C21*'1. Landuse'!$D10*'1. Landuse'!$I11*'1. Landuse'!$I13</f>
        <v>0.96675428571428579</v>
      </c>
      <c r="BP11" s="111">
        <f>'4. Dev Phasing'!BN7/'1. Landuse'!$C21*'1. Landuse'!$D10*'1. Landuse'!$I11*'1. Landuse'!$I13</f>
        <v>0.96675428571428579</v>
      </c>
      <c r="BQ11" s="111">
        <f>'4. Dev Phasing'!BO7/'1. Landuse'!$C21*'1. Landuse'!$D10*'1. Landuse'!$I11*'1. Landuse'!$I13</f>
        <v>0.96675428571428579</v>
      </c>
      <c r="BR11" s="111">
        <f>'4. Dev Phasing'!BP7/'1. Landuse'!$C21*'1. Landuse'!$D10*'1. Landuse'!$I11*'1. Landuse'!$I13</f>
        <v>0.96675428571428579</v>
      </c>
      <c r="BS11" s="111">
        <f>'4. Dev Phasing'!BQ7/'1. Landuse'!$C21*'1. Landuse'!$D10*'1. Landuse'!$I11*'1. Landuse'!$I13</f>
        <v>0.96675428571428579</v>
      </c>
      <c r="BT11" s="111">
        <f>'4. Dev Phasing'!BR7/'1. Landuse'!$C21*'1. Landuse'!$D10*'1. Landuse'!$I11*'1. Landuse'!$I13</f>
        <v>0.96675428571428579</v>
      </c>
      <c r="BU11" s="111">
        <f>'4. Dev Phasing'!BS7/'1. Landuse'!$C21*'1. Landuse'!$D10*'1. Landuse'!$I11*'1. Landuse'!$I13</f>
        <v>0.96675428571428579</v>
      </c>
      <c r="BV11" s="111">
        <f>'4. Dev Phasing'!BT7/'1. Landuse'!$C21*'1. Landuse'!$D10*'1. Landuse'!$I11*'1. Landuse'!$I13</f>
        <v>0.96675428571428579</v>
      </c>
      <c r="BW11" s="111">
        <f>'4. Dev Phasing'!BU7/'1. Landuse'!$C21*'1. Landuse'!$D10*'1. Landuse'!$I11*'1. Landuse'!$I13</f>
        <v>0.96675428571428579</v>
      </c>
      <c r="BX11" s="111">
        <f>'4. Dev Phasing'!BV7/'1. Landuse'!$C21*'1. Landuse'!$D10*'1. Landuse'!$I11*'1. Landuse'!$I13</f>
        <v>0.96675428571428579</v>
      </c>
      <c r="BY11" s="111">
        <f>'4. Dev Phasing'!BW7/'1. Landuse'!$C21*'1. Landuse'!$D10*'1. Landuse'!$I11*'1. Landuse'!$I13</f>
        <v>0.96675428571428579</v>
      </c>
      <c r="BZ11" s="111">
        <f>'4. Dev Phasing'!BX7/'1. Landuse'!$C21*'1. Landuse'!$D10*'1. Landuse'!$I11*'1. Landuse'!$I13</f>
        <v>0.96675428571428579</v>
      </c>
      <c r="CA11" s="111">
        <f>'4. Dev Phasing'!BY7/'1. Landuse'!$C21*'1. Landuse'!$D10*'1. Landuse'!$I11*'1. Landuse'!$I13</f>
        <v>0.96675428571428579</v>
      </c>
      <c r="CB11" s="111">
        <f>'4. Dev Phasing'!BZ7/'1. Landuse'!$C21*'1. Landuse'!$D10*'1. Landuse'!$I11*'1. Landuse'!$I13</f>
        <v>0.96675428571428579</v>
      </c>
      <c r="CC11" s="111">
        <f>'4. Dev Phasing'!CA7/'1. Landuse'!$C21*'1. Landuse'!$D10*'1. Landuse'!$I11*'1. Landuse'!$I13</f>
        <v>0.96675428571428579</v>
      </c>
      <c r="CD11" s="111">
        <f>'4. Dev Phasing'!CB7/'1. Landuse'!$C21*'1. Landuse'!$D10*'1. Landuse'!$I11*'1. Landuse'!$I13</f>
        <v>0.96675428571428579</v>
      </c>
      <c r="CE11" s="111">
        <f>'4. Dev Phasing'!CC7/'1. Landuse'!$C21*'1. Landuse'!$D10*'1. Landuse'!$I11*'1. Landuse'!$I13</f>
        <v>0.96675428571428579</v>
      </c>
      <c r="CF11" s="111">
        <f>'4. Dev Phasing'!CD7/'1. Landuse'!$C21*'1. Landuse'!$D10*'1. Landuse'!$I11*'1. Landuse'!$I13</f>
        <v>0.96675428571428579</v>
      </c>
      <c r="CG11" s="111">
        <f>'4. Dev Phasing'!CE7/'1. Landuse'!$C21*'1. Landuse'!$D10*'1. Landuse'!$I11*'1. Landuse'!$I13</f>
        <v>0.96675428571428579</v>
      </c>
      <c r="CH11" s="111">
        <f>'4. Dev Phasing'!CF7/'1. Landuse'!$C21*'1. Landuse'!$D10*'1. Landuse'!$I11*'1. Landuse'!$I13</f>
        <v>0.96675428571428579</v>
      </c>
      <c r="CI11" s="111">
        <f>'4. Dev Phasing'!CG7/'1. Landuse'!$C21*'1. Landuse'!$D10*'1. Landuse'!$I11*'1. Landuse'!$I13</f>
        <v>0.96675428571428579</v>
      </c>
      <c r="CJ11" s="111">
        <f>'4. Dev Phasing'!CH7/'1. Landuse'!$C21*'1. Landuse'!$D10*'1. Landuse'!$I11*'1. Landuse'!$I13</f>
        <v>0.96675428571428579</v>
      </c>
      <c r="CK11" s="111">
        <f>'4. Dev Phasing'!CI7/'1. Landuse'!$C21*'1. Landuse'!$D10*'1. Landuse'!$I11*'1. Landuse'!$I13</f>
        <v>0.48337714285714289</v>
      </c>
    </row>
    <row r="12" spans="1:90" s="2" customFormat="1" ht="15" customHeight="1">
      <c r="B12" s="124" t="s">
        <v>177</v>
      </c>
      <c r="C12" s="119"/>
      <c r="D12" s="523">
        <f>SUM(F12:BC12)</f>
        <v>0</v>
      </c>
      <c r="E12" s="97"/>
      <c r="F12" s="111">
        <f>(('4. Dev Phasing'!D12)/'1. Landuse'!$C$20)*('1. Landuse'!$I$11*'1. Landuse'!$I$14)</f>
        <v>0</v>
      </c>
      <c r="G12" s="111">
        <f>(('4. Dev Phasing'!E12)/'1. Landuse'!$C$20)*('1. Landuse'!$I$11*'1. Landuse'!$I$14)</f>
        <v>0</v>
      </c>
      <c r="H12" s="111">
        <f>(('4. Dev Phasing'!F12)/'1. Landuse'!$C$20)*('1. Landuse'!$I$11*'1. Landuse'!$I$14)</f>
        <v>0</v>
      </c>
      <c r="I12" s="111">
        <f>(('4. Dev Phasing'!G12)/'1. Landuse'!$C$20)*('1. Landuse'!$I$11*'1. Landuse'!$I$14)</f>
        <v>0</v>
      </c>
      <c r="J12" s="111">
        <f>(('4. Dev Phasing'!H12)/'1. Landuse'!$C$20)*('1. Landuse'!$I$11*'1. Landuse'!$I$14)</f>
        <v>0</v>
      </c>
      <c r="K12" s="111">
        <f>(('4. Dev Phasing'!I12)/'1. Landuse'!$C$20)*('1. Landuse'!$I$11*'1. Landuse'!$I$14)</f>
        <v>0</v>
      </c>
      <c r="L12" s="111">
        <f>(('4. Dev Phasing'!J12)/'1. Landuse'!$C$20)*('1. Landuse'!$I$11*'1. Landuse'!$I$14)</f>
        <v>0</v>
      </c>
      <c r="M12" s="111">
        <f>(('4. Dev Phasing'!K12)/'1. Landuse'!$C$20)*('1. Landuse'!$I$11*'1. Landuse'!$I$14)</f>
        <v>0</v>
      </c>
      <c r="N12" s="111">
        <f>(('4. Dev Phasing'!L12)/'1. Landuse'!$C$20)*('1. Landuse'!$I$11*'1. Landuse'!$I$14)</f>
        <v>0</v>
      </c>
      <c r="O12" s="111">
        <f>(('4. Dev Phasing'!M12)/'1. Landuse'!$C$20)*('1. Landuse'!$I$11*'1. Landuse'!$I$14)</f>
        <v>0</v>
      </c>
      <c r="P12" s="111">
        <f>(('4. Dev Phasing'!N12)/'1. Landuse'!$C$20)*('1. Landuse'!$I$11*'1. Landuse'!$I$14)</f>
        <v>0</v>
      </c>
      <c r="Q12" s="111">
        <f>(('4. Dev Phasing'!O12)/'1. Landuse'!$C$20)*('1. Landuse'!$I$11*'1. Landuse'!$I$14)</f>
        <v>0</v>
      </c>
      <c r="R12" s="111">
        <f>(('4. Dev Phasing'!P12)/'1. Landuse'!$C$20)*('1. Landuse'!$I$11*'1. Landuse'!$I$14)</f>
        <v>0</v>
      </c>
      <c r="S12" s="111">
        <f>(('4. Dev Phasing'!Q12)/'1. Landuse'!$C$20)*('1. Landuse'!$I$11*'1. Landuse'!$I$14)</f>
        <v>0</v>
      </c>
      <c r="T12" s="111">
        <f>(('4. Dev Phasing'!R12)/'1. Landuse'!$C$20)*('1. Landuse'!$I$11*'1. Landuse'!$I$14)</f>
        <v>0</v>
      </c>
      <c r="U12" s="111">
        <f>(('4. Dev Phasing'!S12)/'1. Landuse'!$C$20)*('1. Landuse'!$I$11*'1. Landuse'!$I$14)</f>
        <v>0</v>
      </c>
      <c r="V12" s="111">
        <f>(('4. Dev Phasing'!T12)/'1. Landuse'!$C$20)*('1. Landuse'!$I$11*'1. Landuse'!$I$14)</f>
        <v>0</v>
      </c>
      <c r="W12" s="111">
        <f>(('4. Dev Phasing'!U12)/'1. Landuse'!$C$20)*('1. Landuse'!$I$11*'1. Landuse'!$I$14)</f>
        <v>0</v>
      </c>
      <c r="X12" s="111">
        <f>(('4. Dev Phasing'!V12)/'1. Landuse'!$C$20)*('1. Landuse'!$I$11*'1. Landuse'!$I$14)</f>
        <v>0</v>
      </c>
      <c r="Y12" s="111">
        <f>(('4. Dev Phasing'!W12)/'1. Landuse'!$C$20)*('1. Landuse'!$I$11*'1. Landuse'!$I$14)</f>
        <v>0</v>
      </c>
      <c r="Z12" s="111">
        <f>(('4. Dev Phasing'!X12)/'1. Landuse'!$C$20)*('1. Landuse'!$I$11*'1. Landuse'!$I$14)</f>
        <v>0</v>
      </c>
      <c r="AA12" s="111">
        <f>(('4. Dev Phasing'!Y12)/'1. Landuse'!$C$20)*('1. Landuse'!$I$11*'1. Landuse'!$I$14)</f>
        <v>0</v>
      </c>
      <c r="AB12" s="111">
        <f>(('4. Dev Phasing'!Z12)/'1. Landuse'!$C$20)*('1. Landuse'!$I$11*'1. Landuse'!$I$14)</f>
        <v>0</v>
      </c>
      <c r="AC12" s="111">
        <f>(('4. Dev Phasing'!AA12)/'1. Landuse'!$C$20)*('1. Landuse'!$I$11*'1. Landuse'!$I$14)</f>
        <v>0</v>
      </c>
      <c r="AD12" s="111">
        <f>(('4. Dev Phasing'!AB12)/'1. Landuse'!$C$20)*('1. Landuse'!$I$11*'1. Landuse'!$I$14)</f>
        <v>0</v>
      </c>
      <c r="AE12" s="111">
        <f>(('4. Dev Phasing'!AC12)/'1. Landuse'!$C$20)*('1. Landuse'!$I$11*'1. Landuse'!$I$14)</f>
        <v>0</v>
      </c>
      <c r="AF12" s="111">
        <f>(('4. Dev Phasing'!AD12)/'1. Landuse'!$C$20)*('1. Landuse'!$I$11*'1. Landuse'!$I$14)</f>
        <v>0</v>
      </c>
      <c r="AG12" s="111">
        <f>(('4. Dev Phasing'!AE12)/'1. Landuse'!$C$20)*('1. Landuse'!$I$11*'1. Landuse'!$I$14)</f>
        <v>0</v>
      </c>
      <c r="AH12" s="111">
        <f>(('4. Dev Phasing'!AF12)/'1. Landuse'!$C$20)*('1. Landuse'!$I$11*'1. Landuse'!$I$14)</f>
        <v>0</v>
      </c>
      <c r="AI12" s="111">
        <f>(('4. Dev Phasing'!AG12)/'1. Landuse'!$C$20)*('1. Landuse'!$I$11*'1. Landuse'!$I$14)</f>
        <v>0</v>
      </c>
      <c r="AJ12" s="111">
        <f>(('4. Dev Phasing'!AH12)/'1. Landuse'!$C$20)*('1. Landuse'!$I$11*'1. Landuse'!$I$14)</f>
        <v>0</v>
      </c>
      <c r="AK12" s="111">
        <f>(('4. Dev Phasing'!AI12)/'1. Landuse'!$C$20)*('1. Landuse'!$I$11*'1. Landuse'!$I$14)</f>
        <v>0</v>
      </c>
      <c r="AL12" s="111">
        <f>(('4. Dev Phasing'!AJ12)/'1. Landuse'!$C$20)*('1. Landuse'!$I$11*'1. Landuse'!$I$14)</f>
        <v>0</v>
      </c>
      <c r="AM12" s="111">
        <f>(('4. Dev Phasing'!AK12)/'1. Landuse'!$C$20)*('1. Landuse'!$I$11*'1. Landuse'!$I$14)</f>
        <v>0</v>
      </c>
      <c r="AN12" s="111">
        <f>(('4. Dev Phasing'!AL12)/'1. Landuse'!$C$20)*('1. Landuse'!$I$11*'1. Landuse'!$I$14)</f>
        <v>0</v>
      </c>
      <c r="AO12" s="111">
        <f>(('4. Dev Phasing'!AM12)/'1. Landuse'!$C$20)*('1. Landuse'!$I$11*'1. Landuse'!$I$14)</f>
        <v>0</v>
      </c>
      <c r="AP12" s="111">
        <f>(('4. Dev Phasing'!AN12)/'1. Landuse'!$C$20)*('1. Landuse'!$I$11*'1. Landuse'!$I$14)</f>
        <v>0</v>
      </c>
      <c r="AQ12" s="111">
        <f>(('4. Dev Phasing'!AO12)/'1. Landuse'!$C$20)*('1. Landuse'!$I$11*'1. Landuse'!$I$14)</f>
        <v>0</v>
      </c>
      <c r="AR12" s="111">
        <f>(('4. Dev Phasing'!AP12)/'1. Landuse'!$C$20)*('1. Landuse'!$I$11*'1. Landuse'!$I$14)</f>
        <v>0</v>
      </c>
      <c r="AS12" s="111">
        <f>(('4. Dev Phasing'!AQ12)/'1. Landuse'!$C$20)*('1. Landuse'!$I$11*'1. Landuse'!$I$14)</f>
        <v>0</v>
      </c>
      <c r="AT12" s="111">
        <f>(('4. Dev Phasing'!AR12)/'1. Landuse'!$C$20)*('1. Landuse'!$I$11*'1. Landuse'!$I$14)</f>
        <v>0</v>
      </c>
      <c r="AU12" s="111">
        <f>(('4. Dev Phasing'!AS12)/'1. Landuse'!$C$20)*('1. Landuse'!$I$11*'1. Landuse'!$I$14)</f>
        <v>0</v>
      </c>
      <c r="AV12" s="111">
        <f>(('4. Dev Phasing'!AT12)/'1. Landuse'!$C$20)*('1. Landuse'!$I$11*'1. Landuse'!$I$14)</f>
        <v>0</v>
      </c>
      <c r="AW12" s="111">
        <f>(('4. Dev Phasing'!AU12)/'1. Landuse'!$C$20)*('1. Landuse'!$I$11*'1. Landuse'!$I$14)</f>
        <v>0</v>
      </c>
      <c r="AX12" s="111">
        <f>(('4. Dev Phasing'!AV12)/'1. Landuse'!$C$20)*('1. Landuse'!$I$11*'1. Landuse'!$I$14)</f>
        <v>0</v>
      </c>
      <c r="AY12" s="111">
        <f>(('4. Dev Phasing'!AW12)/'1. Landuse'!$C$20)*('1. Landuse'!$I$11*'1. Landuse'!$I$14)</f>
        <v>0</v>
      </c>
      <c r="AZ12" s="111">
        <f>(('4. Dev Phasing'!AX12)/'1. Landuse'!$C$20)*('1. Landuse'!$I$11*'1. Landuse'!$I$14)</f>
        <v>0</v>
      </c>
      <c r="BA12" s="111">
        <f>(('4. Dev Phasing'!AY12)/'1. Landuse'!$C$20)*('1. Landuse'!$I$11*'1. Landuse'!$I$14)</f>
        <v>0</v>
      </c>
      <c r="BB12" s="111">
        <f>(('4. Dev Phasing'!AZ12)/'1. Landuse'!$C$20)*('1. Landuse'!$I$11*'1. Landuse'!$I$14)</f>
        <v>0</v>
      </c>
      <c r="BC12" s="590">
        <f>(('4. Dev Phasing'!BA12)/'1. Landuse'!$C$20)*('1. Landuse'!$I$11*'1. Landuse'!$I$14)</f>
        <v>0</v>
      </c>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row>
    <row r="13" spans="1:90" s="2" customFormat="1" ht="15" customHeight="1">
      <c r="B13" s="114" t="s">
        <v>50</v>
      </c>
      <c r="C13" s="118"/>
      <c r="D13" s="523">
        <f>SUM(F13:CK13)</f>
        <v>25.73999999999997</v>
      </c>
      <c r="E13" s="97"/>
      <c r="F13" s="111">
        <f>'4. Dev Phasing'!D18/'1. Landuse'!$J$18/'1. Landuse'!$I$18/10000</f>
        <v>0</v>
      </c>
      <c r="G13" s="111">
        <f>'4. Dev Phasing'!E18/'1. Landuse'!$J$18/'1. Landuse'!$I$18/10000</f>
        <v>0</v>
      </c>
      <c r="H13" s="111">
        <f>'4. Dev Phasing'!F18/'1. Landuse'!$J$18/'1. Landuse'!$I$18/10000</f>
        <v>0</v>
      </c>
      <c r="I13" s="111">
        <f>'4. Dev Phasing'!G18/'1. Landuse'!$J$18/'1. Landuse'!$I$18/10000</f>
        <v>0</v>
      </c>
      <c r="J13" s="111">
        <f>'4. Dev Phasing'!H18/'1. Landuse'!$J$18/'1. Landuse'!$I$18/10000</f>
        <v>0</v>
      </c>
      <c r="K13" s="111">
        <f>'4. Dev Phasing'!I18/'1. Landuse'!$J$18/'1. Landuse'!$I$18/10000</f>
        <v>0</v>
      </c>
      <c r="L13" s="111">
        <f>'4. Dev Phasing'!J18/'1. Landuse'!$J$18/'1. Landuse'!$I$18/10000</f>
        <v>0</v>
      </c>
      <c r="M13" s="111">
        <f>'4. Dev Phasing'!K18/'1. Landuse'!$J$18/'1. Landuse'!$I$18/10000</f>
        <v>0</v>
      </c>
      <c r="N13" s="111">
        <f>'4. Dev Phasing'!L18/'1. Landuse'!$J$18/'1. Landuse'!$I$18/10000</f>
        <v>0</v>
      </c>
      <c r="O13" s="111">
        <f>'4. Dev Phasing'!M18/'1. Landuse'!$J$18/'1. Landuse'!$I$18/10000</f>
        <v>0</v>
      </c>
      <c r="P13" s="111">
        <f>'4. Dev Phasing'!N18/'1. Landuse'!$J$18/'1. Landuse'!$I$18/10000</f>
        <v>0</v>
      </c>
      <c r="Q13" s="111">
        <f>'4. Dev Phasing'!O18/'1. Landuse'!$J$18/'1. Landuse'!$I$18/10000</f>
        <v>0</v>
      </c>
      <c r="R13" s="111">
        <f>'4. Dev Phasing'!P18/'1. Landuse'!$J$18/'1. Landuse'!$I$18/10000</f>
        <v>0</v>
      </c>
      <c r="S13" s="111">
        <f>'1. Landuse'!$D13/69</f>
        <v>0.37304347826086953</v>
      </c>
      <c r="T13" s="111">
        <f>'1. Landuse'!$D13/69</f>
        <v>0.37304347826086953</v>
      </c>
      <c r="U13" s="111">
        <f>'1. Landuse'!$D13/69</f>
        <v>0.37304347826086953</v>
      </c>
      <c r="V13" s="111">
        <f>'1. Landuse'!$D13/69</f>
        <v>0.37304347826086953</v>
      </c>
      <c r="W13" s="111">
        <f>'1. Landuse'!$D13/69</f>
        <v>0.37304347826086953</v>
      </c>
      <c r="X13" s="111">
        <f>'1. Landuse'!$D13/69</f>
        <v>0.37304347826086953</v>
      </c>
      <c r="Y13" s="111">
        <f>'1. Landuse'!$D13/69</f>
        <v>0.37304347826086953</v>
      </c>
      <c r="Z13" s="111">
        <f>'1. Landuse'!$D13/69</f>
        <v>0.37304347826086953</v>
      </c>
      <c r="AA13" s="111">
        <f>'1. Landuse'!$D13/69</f>
        <v>0.37304347826086953</v>
      </c>
      <c r="AB13" s="111">
        <f>'1. Landuse'!$D13/69</f>
        <v>0.37304347826086953</v>
      </c>
      <c r="AC13" s="111">
        <f>'1. Landuse'!$D13/69</f>
        <v>0.37304347826086953</v>
      </c>
      <c r="AD13" s="111">
        <f>'1. Landuse'!$D13/69</f>
        <v>0.37304347826086953</v>
      </c>
      <c r="AE13" s="111">
        <f>'1. Landuse'!$D13/69</f>
        <v>0.37304347826086953</v>
      </c>
      <c r="AF13" s="111">
        <f>'1. Landuse'!$D13/69</f>
        <v>0.37304347826086953</v>
      </c>
      <c r="AG13" s="111">
        <f>'1. Landuse'!$D13/69</f>
        <v>0.37304347826086953</v>
      </c>
      <c r="AH13" s="111">
        <f>'1. Landuse'!$D13/69</f>
        <v>0.37304347826086953</v>
      </c>
      <c r="AI13" s="111">
        <f>'1. Landuse'!$D13/69</f>
        <v>0.37304347826086953</v>
      </c>
      <c r="AJ13" s="111">
        <f>'1. Landuse'!$D13/69</f>
        <v>0.37304347826086953</v>
      </c>
      <c r="AK13" s="111">
        <f>'1. Landuse'!$D13/69</f>
        <v>0.37304347826086953</v>
      </c>
      <c r="AL13" s="111">
        <f>'1. Landuse'!$D13/69</f>
        <v>0.37304347826086953</v>
      </c>
      <c r="AM13" s="111">
        <f>'1. Landuse'!$D13/69</f>
        <v>0.37304347826086953</v>
      </c>
      <c r="AN13" s="111">
        <f>'1. Landuse'!$D13/69</f>
        <v>0.37304347826086953</v>
      </c>
      <c r="AO13" s="111">
        <f>'1. Landuse'!$D13/69</f>
        <v>0.37304347826086953</v>
      </c>
      <c r="AP13" s="111">
        <f>'1. Landuse'!$D13/69</f>
        <v>0.37304347826086953</v>
      </c>
      <c r="AQ13" s="111">
        <f>'1. Landuse'!$D13/69</f>
        <v>0.37304347826086953</v>
      </c>
      <c r="AR13" s="111">
        <f>'1. Landuse'!$D13/69</f>
        <v>0.37304347826086953</v>
      </c>
      <c r="AS13" s="111">
        <f>'1. Landuse'!$D13/69</f>
        <v>0.37304347826086953</v>
      </c>
      <c r="AT13" s="111">
        <f>'1. Landuse'!$D13/69</f>
        <v>0.37304347826086953</v>
      </c>
      <c r="AU13" s="111">
        <f>'1. Landuse'!$D13/69</f>
        <v>0.37304347826086953</v>
      </c>
      <c r="AV13" s="111">
        <f>'1. Landuse'!$D13/69</f>
        <v>0.37304347826086953</v>
      </c>
      <c r="AW13" s="111">
        <f>'1. Landuse'!$D13/69</f>
        <v>0.37304347826086953</v>
      </c>
      <c r="AX13" s="111">
        <f>'1. Landuse'!$D13/69</f>
        <v>0.37304347826086953</v>
      </c>
      <c r="AY13" s="111">
        <f>'1. Landuse'!$D13/69</f>
        <v>0.37304347826086953</v>
      </c>
      <c r="AZ13" s="111">
        <f>'1. Landuse'!$D13/69</f>
        <v>0.37304347826086953</v>
      </c>
      <c r="BA13" s="111">
        <f>'1. Landuse'!$D13/69</f>
        <v>0.37304347826086953</v>
      </c>
      <c r="BB13" s="111">
        <f>'1. Landuse'!$D13/69</f>
        <v>0.37304347826086953</v>
      </c>
      <c r="BC13" s="590">
        <f>'1. Landuse'!$D13/69</f>
        <v>0.37304347826086953</v>
      </c>
      <c r="BD13" s="111">
        <f>'1. Landuse'!$D13/69</f>
        <v>0.37304347826086953</v>
      </c>
      <c r="BE13" s="111">
        <f>'1. Landuse'!$D13/69</f>
        <v>0.37304347826086953</v>
      </c>
      <c r="BF13" s="111">
        <f>'1. Landuse'!$D13/69</f>
        <v>0.37304347826086953</v>
      </c>
      <c r="BG13" s="111">
        <f>'1. Landuse'!$D13/69</f>
        <v>0.37304347826086953</v>
      </c>
      <c r="BH13" s="111">
        <f>'1. Landuse'!$D13/69</f>
        <v>0.37304347826086953</v>
      </c>
      <c r="BI13" s="111">
        <f>'1. Landuse'!$D13/69</f>
        <v>0.37304347826086953</v>
      </c>
      <c r="BJ13" s="111">
        <f>'1. Landuse'!$D13/69</f>
        <v>0.37304347826086953</v>
      </c>
      <c r="BK13" s="111">
        <f>'1. Landuse'!$D13/69</f>
        <v>0.37304347826086953</v>
      </c>
      <c r="BL13" s="111">
        <f>'1. Landuse'!$D13/69</f>
        <v>0.37304347826086953</v>
      </c>
      <c r="BM13" s="111">
        <f>'1. Landuse'!$D13/69</f>
        <v>0.37304347826086953</v>
      </c>
      <c r="BN13" s="111">
        <f>'1. Landuse'!$D13/69</f>
        <v>0.37304347826086953</v>
      </c>
      <c r="BO13" s="111">
        <f>'1. Landuse'!$D13/69</f>
        <v>0.37304347826086953</v>
      </c>
      <c r="BP13" s="111">
        <f>'1. Landuse'!$D13/69</f>
        <v>0.37304347826086953</v>
      </c>
      <c r="BQ13" s="111">
        <f>'1. Landuse'!$D13/69</f>
        <v>0.37304347826086953</v>
      </c>
      <c r="BR13" s="111">
        <f>'1. Landuse'!$D13/69</f>
        <v>0.37304347826086953</v>
      </c>
      <c r="BS13" s="111">
        <f>'1. Landuse'!$D13/69</f>
        <v>0.37304347826086953</v>
      </c>
      <c r="BT13" s="111">
        <f>'1. Landuse'!$D13/69</f>
        <v>0.37304347826086953</v>
      </c>
      <c r="BU13" s="111">
        <f>'1. Landuse'!$D13/69</f>
        <v>0.37304347826086953</v>
      </c>
      <c r="BV13" s="111">
        <f>'1. Landuse'!$D13/69</f>
        <v>0.37304347826086953</v>
      </c>
      <c r="BW13" s="111">
        <f>'1. Landuse'!$D13/69</f>
        <v>0.37304347826086953</v>
      </c>
      <c r="BX13" s="111">
        <f>'1. Landuse'!$D13/69</f>
        <v>0.37304347826086953</v>
      </c>
      <c r="BY13" s="111">
        <f>'1. Landuse'!$D13/69</f>
        <v>0.37304347826086953</v>
      </c>
      <c r="BZ13" s="111">
        <f>'1. Landuse'!$D13/69</f>
        <v>0.37304347826086953</v>
      </c>
      <c r="CA13" s="111">
        <f>'1. Landuse'!$D13/69</f>
        <v>0.37304347826086953</v>
      </c>
      <c r="CB13" s="111">
        <f>'1. Landuse'!$D13/69</f>
        <v>0.37304347826086953</v>
      </c>
      <c r="CC13" s="111">
        <f>'1. Landuse'!$D13/69</f>
        <v>0.37304347826086953</v>
      </c>
      <c r="CD13" s="111">
        <f>'1. Landuse'!$D13/69</f>
        <v>0.37304347826086953</v>
      </c>
      <c r="CE13" s="111">
        <f>'1. Landuse'!$D13/69</f>
        <v>0.37304347826086953</v>
      </c>
      <c r="CF13" s="111">
        <f>'1. Landuse'!$D13/69</f>
        <v>0.37304347826086953</v>
      </c>
      <c r="CG13" s="111">
        <f>'1. Landuse'!$D13/69</f>
        <v>0.37304347826086953</v>
      </c>
      <c r="CH13" s="111">
        <f>'1. Landuse'!$D13/69</f>
        <v>0.37304347826086953</v>
      </c>
      <c r="CI13" s="111">
        <f>'1. Landuse'!$D13/69</f>
        <v>0.37304347826086953</v>
      </c>
      <c r="CJ13" s="111"/>
      <c r="CK13" s="111"/>
    </row>
    <row r="14" spans="1:90" s="2" customFormat="1" ht="15" customHeight="1">
      <c r="B14" s="232" t="s">
        <v>49</v>
      </c>
      <c r="C14" s="118"/>
      <c r="D14" s="523">
        <f>SUM(F14:CK14)</f>
        <v>25.73999999999997</v>
      </c>
      <c r="E14" s="97"/>
      <c r="F14" s="111">
        <f>'4. Dev Phasing'!D19/'1. Landuse'!$J$19/'1. Landuse'!$I$19/10000</f>
        <v>0</v>
      </c>
      <c r="G14" s="111">
        <f>'4. Dev Phasing'!E19/'1. Landuse'!$J$19/'1. Landuse'!$I$19/10000</f>
        <v>0</v>
      </c>
      <c r="H14" s="111">
        <f>'4. Dev Phasing'!F19/'1. Landuse'!$J$19/'1. Landuse'!$I$19/10000</f>
        <v>0</v>
      </c>
      <c r="I14" s="111">
        <f>'4. Dev Phasing'!G19/'1. Landuse'!$J$19/'1. Landuse'!$I$19/10000</f>
        <v>0</v>
      </c>
      <c r="J14" s="111">
        <f>'4. Dev Phasing'!H19/'1. Landuse'!$J$19/'1. Landuse'!$I$19/10000</f>
        <v>0</v>
      </c>
      <c r="K14" s="111">
        <f>'4. Dev Phasing'!I19/'1. Landuse'!$J$19/'1. Landuse'!$I$19/10000</f>
        <v>0</v>
      </c>
      <c r="L14" s="111">
        <f>'4. Dev Phasing'!J19/'1. Landuse'!$J$19/'1. Landuse'!$I$19/10000</f>
        <v>0</v>
      </c>
      <c r="M14" s="111">
        <f>'4. Dev Phasing'!K19/'1. Landuse'!$J$19/'1. Landuse'!$I$19/10000</f>
        <v>0</v>
      </c>
      <c r="N14" s="111">
        <f>'4. Dev Phasing'!L19/'1. Landuse'!$J$19/'1. Landuse'!$I$19/10000</f>
        <v>0</v>
      </c>
      <c r="O14" s="111">
        <f>'4. Dev Phasing'!M19/'1. Landuse'!$J$19/'1. Landuse'!$I$19/10000</f>
        <v>0</v>
      </c>
      <c r="P14" s="111">
        <f>'4. Dev Phasing'!N19/'1. Landuse'!$J$19/'1. Landuse'!$I$19/10000</f>
        <v>0</v>
      </c>
      <c r="Q14" s="111">
        <f>'4. Dev Phasing'!O19/'1. Landuse'!$J$19/'1. Landuse'!$I$19/10000</f>
        <v>0</v>
      </c>
      <c r="R14" s="111">
        <f>'4. Dev Phasing'!P19/'1. Landuse'!$J$19/'1. Landuse'!$I$19/10000</f>
        <v>0</v>
      </c>
      <c r="S14" s="111">
        <f>'1. Landuse'!$D14/69</f>
        <v>0.37304347826086953</v>
      </c>
      <c r="T14" s="111">
        <f>'1. Landuse'!$D14/69</f>
        <v>0.37304347826086953</v>
      </c>
      <c r="U14" s="111">
        <f>'1. Landuse'!$D14/69</f>
        <v>0.37304347826086953</v>
      </c>
      <c r="V14" s="111">
        <f>'1. Landuse'!$D14/69</f>
        <v>0.37304347826086953</v>
      </c>
      <c r="W14" s="111">
        <f>'1. Landuse'!$D14/69</f>
        <v>0.37304347826086953</v>
      </c>
      <c r="X14" s="111">
        <f>'1. Landuse'!$D14/69</f>
        <v>0.37304347826086953</v>
      </c>
      <c r="Y14" s="111">
        <f>'1. Landuse'!$D14/69</f>
        <v>0.37304347826086953</v>
      </c>
      <c r="Z14" s="111">
        <f>'1. Landuse'!$D14/69</f>
        <v>0.37304347826086953</v>
      </c>
      <c r="AA14" s="111">
        <f>'1. Landuse'!$D14/69</f>
        <v>0.37304347826086953</v>
      </c>
      <c r="AB14" s="111">
        <f>'1. Landuse'!$D14/69</f>
        <v>0.37304347826086953</v>
      </c>
      <c r="AC14" s="111">
        <f>'1. Landuse'!$D14/69</f>
        <v>0.37304347826086953</v>
      </c>
      <c r="AD14" s="111">
        <f>'1. Landuse'!$D14/69</f>
        <v>0.37304347826086953</v>
      </c>
      <c r="AE14" s="111">
        <f>'1. Landuse'!$D14/69</f>
        <v>0.37304347826086953</v>
      </c>
      <c r="AF14" s="111">
        <f>'1. Landuse'!$D14/69</f>
        <v>0.37304347826086953</v>
      </c>
      <c r="AG14" s="111">
        <f>'1. Landuse'!$D14/69</f>
        <v>0.37304347826086953</v>
      </c>
      <c r="AH14" s="111">
        <f>'1. Landuse'!$D14/69</f>
        <v>0.37304347826086953</v>
      </c>
      <c r="AI14" s="111">
        <f>'1. Landuse'!$D14/69</f>
        <v>0.37304347826086953</v>
      </c>
      <c r="AJ14" s="111">
        <f>'1. Landuse'!$D14/69</f>
        <v>0.37304347826086953</v>
      </c>
      <c r="AK14" s="111">
        <f>'1. Landuse'!$D14/69</f>
        <v>0.37304347826086953</v>
      </c>
      <c r="AL14" s="111">
        <f>'1. Landuse'!$D14/69</f>
        <v>0.37304347826086953</v>
      </c>
      <c r="AM14" s="111">
        <f>'1. Landuse'!$D14/69</f>
        <v>0.37304347826086953</v>
      </c>
      <c r="AN14" s="111">
        <f>'1. Landuse'!$D14/69</f>
        <v>0.37304347826086953</v>
      </c>
      <c r="AO14" s="111">
        <f>'1. Landuse'!$D14/69</f>
        <v>0.37304347826086953</v>
      </c>
      <c r="AP14" s="111">
        <f>'1. Landuse'!$D14/69</f>
        <v>0.37304347826086953</v>
      </c>
      <c r="AQ14" s="111">
        <f>'1. Landuse'!$D14/69</f>
        <v>0.37304347826086953</v>
      </c>
      <c r="AR14" s="111">
        <f>'1. Landuse'!$D14/69</f>
        <v>0.37304347826086953</v>
      </c>
      <c r="AS14" s="111">
        <f>'1. Landuse'!$D14/69</f>
        <v>0.37304347826086953</v>
      </c>
      <c r="AT14" s="111">
        <f>'1. Landuse'!$D14/69</f>
        <v>0.37304347826086953</v>
      </c>
      <c r="AU14" s="111">
        <f>'1. Landuse'!$D14/69</f>
        <v>0.37304347826086953</v>
      </c>
      <c r="AV14" s="111">
        <f>'1. Landuse'!$D14/69</f>
        <v>0.37304347826086953</v>
      </c>
      <c r="AW14" s="111">
        <f>'1. Landuse'!$D14/69</f>
        <v>0.37304347826086953</v>
      </c>
      <c r="AX14" s="111">
        <f>'1. Landuse'!$D14/69</f>
        <v>0.37304347826086953</v>
      </c>
      <c r="AY14" s="111">
        <f>'1. Landuse'!$D14/69</f>
        <v>0.37304347826086953</v>
      </c>
      <c r="AZ14" s="111">
        <f>'1. Landuse'!$D14/69</f>
        <v>0.37304347826086953</v>
      </c>
      <c r="BA14" s="111">
        <f>'1. Landuse'!$D14/69</f>
        <v>0.37304347826086953</v>
      </c>
      <c r="BB14" s="111">
        <f>'1. Landuse'!$D14/69</f>
        <v>0.37304347826086953</v>
      </c>
      <c r="BC14" s="590">
        <f>'1. Landuse'!$D14/69</f>
        <v>0.37304347826086953</v>
      </c>
      <c r="BD14" s="111">
        <f>'1. Landuse'!$D14/69</f>
        <v>0.37304347826086953</v>
      </c>
      <c r="BE14" s="111">
        <f>'1. Landuse'!$D14/69</f>
        <v>0.37304347826086953</v>
      </c>
      <c r="BF14" s="111">
        <f>'1. Landuse'!$D14/69</f>
        <v>0.37304347826086953</v>
      </c>
      <c r="BG14" s="111">
        <f>'1. Landuse'!$D14/69</f>
        <v>0.37304347826086953</v>
      </c>
      <c r="BH14" s="111">
        <f>'1. Landuse'!$D14/69</f>
        <v>0.37304347826086953</v>
      </c>
      <c r="BI14" s="111">
        <f>'1. Landuse'!$D14/69</f>
        <v>0.37304347826086953</v>
      </c>
      <c r="BJ14" s="111">
        <f>'1. Landuse'!$D14/69</f>
        <v>0.37304347826086953</v>
      </c>
      <c r="BK14" s="111">
        <f>'1. Landuse'!$D14/69</f>
        <v>0.37304347826086953</v>
      </c>
      <c r="BL14" s="111">
        <f>'1. Landuse'!$D14/69</f>
        <v>0.37304347826086953</v>
      </c>
      <c r="BM14" s="111">
        <f>'1. Landuse'!$D14/69</f>
        <v>0.37304347826086953</v>
      </c>
      <c r="BN14" s="111">
        <f>'1. Landuse'!$D14/69</f>
        <v>0.37304347826086953</v>
      </c>
      <c r="BO14" s="111">
        <f>'1. Landuse'!$D14/69</f>
        <v>0.37304347826086953</v>
      </c>
      <c r="BP14" s="111">
        <f>'1. Landuse'!$D14/69</f>
        <v>0.37304347826086953</v>
      </c>
      <c r="BQ14" s="111">
        <f>'1. Landuse'!$D14/69</f>
        <v>0.37304347826086953</v>
      </c>
      <c r="BR14" s="111">
        <f>'1. Landuse'!$D14/69</f>
        <v>0.37304347826086953</v>
      </c>
      <c r="BS14" s="111">
        <f>'1. Landuse'!$D14/69</f>
        <v>0.37304347826086953</v>
      </c>
      <c r="BT14" s="111">
        <f>'1. Landuse'!$D14/69</f>
        <v>0.37304347826086953</v>
      </c>
      <c r="BU14" s="111">
        <f>'1. Landuse'!$D14/69</f>
        <v>0.37304347826086953</v>
      </c>
      <c r="BV14" s="111">
        <f>'1. Landuse'!$D14/69</f>
        <v>0.37304347826086953</v>
      </c>
      <c r="BW14" s="111">
        <f>'1. Landuse'!$D14/69</f>
        <v>0.37304347826086953</v>
      </c>
      <c r="BX14" s="111">
        <f>'1. Landuse'!$D14/69</f>
        <v>0.37304347826086953</v>
      </c>
      <c r="BY14" s="111">
        <f>'1. Landuse'!$D14/69</f>
        <v>0.37304347826086953</v>
      </c>
      <c r="BZ14" s="111">
        <f>'1. Landuse'!$D14/69</f>
        <v>0.37304347826086953</v>
      </c>
      <c r="CA14" s="111">
        <f>'1. Landuse'!$D14/69</f>
        <v>0.37304347826086953</v>
      </c>
      <c r="CB14" s="111">
        <f>'1. Landuse'!$D14/69</f>
        <v>0.37304347826086953</v>
      </c>
      <c r="CC14" s="111">
        <f>'1. Landuse'!$D14/69</f>
        <v>0.37304347826086953</v>
      </c>
      <c r="CD14" s="111">
        <f>'1. Landuse'!$D14/69</f>
        <v>0.37304347826086953</v>
      </c>
      <c r="CE14" s="111">
        <f>'1. Landuse'!$D14/69</f>
        <v>0.37304347826086953</v>
      </c>
      <c r="CF14" s="111">
        <f>'1. Landuse'!$D14/69</f>
        <v>0.37304347826086953</v>
      </c>
      <c r="CG14" s="111">
        <f>'1. Landuse'!$D14/69</f>
        <v>0.37304347826086953</v>
      </c>
      <c r="CH14" s="111">
        <f>'1. Landuse'!$D14/69</f>
        <v>0.37304347826086953</v>
      </c>
      <c r="CI14" s="111">
        <f>'1. Landuse'!$D14/69</f>
        <v>0.37304347826086953</v>
      </c>
      <c r="CJ14" s="111"/>
      <c r="CK14" s="111"/>
    </row>
    <row r="15" spans="1:90" s="2" customFormat="1" ht="15" customHeight="1">
      <c r="B15" s="114" t="s">
        <v>516</v>
      </c>
      <c r="C15" s="118"/>
      <c r="D15" s="523">
        <f>SUM(F15:CK15)</f>
        <v>19.96</v>
      </c>
      <c r="E15" s="97"/>
      <c r="F15" s="111">
        <f>'4. Dev Phasing'!D20/'1. Landuse'!$J$20/'1. Landuse'!$I$20/10000</f>
        <v>0</v>
      </c>
      <c r="G15" s="111">
        <f>'4. Dev Phasing'!E20/'1. Landuse'!$J$20/'1. Landuse'!$I$20/10000</f>
        <v>0</v>
      </c>
      <c r="H15" s="111">
        <f>'4. Dev Phasing'!F20/'1. Landuse'!$J$20/'1. Landuse'!$I$20/10000</f>
        <v>0</v>
      </c>
      <c r="I15" s="111">
        <f>'4. Dev Phasing'!G20/'1. Landuse'!$J$20/'1. Landuse'!$I$20/10000</f>
        <v>0</v>
      </c>
      <c r="J15" s="111">
        <f>'4. Dev Phasing'!H20/'1. Landuse'!$J$20/'1. Landuse'!$I$20/10000</f>
        <v>0</v>
      </c>
      <c r="K15" s="111">
        <f>'4. Dev Phasing'!I20/'1. Landuse'!$J$20/'1. Landuse'!$I$20/10000</f>
        <v>0</v>
      </c>
      <c r="L15" s="111">
        <f>'4. Dev Phasing'!J20/'1. Landuse'!$J$20/'1. Landuse'!$I$20/10000</f>
        <v>0</v>
      </c>
      <c r="M15" s="111">
        <f>'4. Dev Phasing'!K20/'1. Landuse'!$J$20/'1. Landuse'!$I$20/10000</f>
        <v>0</v>
      </c>
      <c r="N15" s="111">
        <f>'4. Dev Phasing'!L20/'1. Landuse'!$J$20/'1. Landuse'!$I$20/10000</f>
        <v>0</v>
      </c>
      <c r="O15" s="111"/>
      <c r="P15" s="111"/>
      <c r="Q15" s="111"/>
      <c r="R15" s="111"/>
      <c r="S15" s="111">
        <v>0.64</v>
      </c>
      <c r="T15" s="111"/>
      <c r="U15" s="111"/>
      <c r="V15" s="111"/>
      <c r="W15" s="111">
        <v>0.64</v>
      </c>
      <c r="X15" s="111"/>
      <c r="Y15" s="111"/>
      <c r="Z15" s="111"/>
      <c r="AA15" s="111">
        <v>3.14</v>
      </c>
      <c r="AB15" s="111"/>
      <c r="AC15" s="111"/>
      <c r="AD15" s="111"/>
      <c r="AE15" s="111">
        <v>0.64</v>
      </c>
      <c r="AF15" s="111"/>
      <c r="AG15" s="111"/>
      <c r="AH15" s="111"/>
      <c r="AI15" s="111">
        <v>0.64</v>
      </c>
      <c r="AJ15" s="111"/>
      <c r="AK15" s="111"/>
      <c r="AL15" s="111"/>
      <c r="AM15" s="111">
        <v>0.64</v>
      </c>
      <c r="AN15" s="111"/>
      <c r="AO15" s="111"/>
      <c r="AP15" s="111"/>
      <c r="AQ15" s="111">
        <v>3.14</v>
      </c>
      <c r="AR15" s="111"/>
      <c r="AS15" s="111"/>
      <c r="AT15" s="111"/>
      <c r="AU15" s="111">
        <v>0.64</v>
      </c>
      <c r="AV15" s="111"/>
      <c r="AW15" s="111"/>
      <c r="AX15" s="111"/>
      <c r="AY15" s="111">
        <v>0.64</v>
      </c>
      <c r="AZ15" s="111"/>
      <c r="BA15" s="111"/>
      <c r="BB15" s="111"/>
      <c r="BC15" s="590">
        <f>0.6+0.1</f>
        <v>0.7</v>
      </c>
      <c r="BD15" s="111"/>
      <c r="BE15" s="111"/>
      <c r="BF15" s="111"/>
      <c r="BG15" s="111">
        <v>0.6</v>
      </c>
      <c r="BH15" s="111"/>
      <c r="BI15" s="111"/>
      <c r="BJ15" s="111"/>
      <c r="BK15" s="111">
        <v>2.5</v>
      </c>
      <c r="BL15" s="111"/>
      <c r="BM15" s="111"/>
      <c r="BN15" s="111"/>
      <c r="BO15" s="111">
        <v>0.6</v>
      </c>
      <c r="BP15" s="111"/>
      <c r="BQ15" s="111"/>
      <c r="BR15" s="111"/>
      <c r="BS15" s="111">
        <v>0.6</v>
      </c>
      <c r="BT15" s="111"/>
      <c r="BU15" s="111"/>
      <c r="BV15" s="111"/>
      <c r="BW15" s="111">
        <v>0.6</v>
      </c>
      <c r="BX15" s="111"/>
      <c r="BY15" s="111"/>
      <c r="BZ15" s="111"/>
      <c r="CA15" s="111">
        <v>0.6</v>
      </c>
      <c r="CB15" s="111"/>
      <c r="CC15" s="111"/>
      <c r="CD15" s="111"/>
      <c r="CE15" s="111">
        <v>2.4</v>
      </c>
      <c r="CF15" s="111"/>
      <c r="CG15" s="111"/>
      <c r="CH15" s="111"/>
      <c r="CI15" s="111">
        <v>0.6</v>
      </c>
      <c r="CJ15" s="111"/>
      <c r="CK15" s="111"/>
    </row>
    <row r="16" spans="1:90" s="2" customFormat="1" ht="15" customHeight="1">
      <c r="B16" s="114" t="s">
        <v>341</v>
      </c>
      <c r="C16" s="115"/>
      <c r="D16" s="523">
        <f>SUM(F16:CK16)</f>
        <v>635.38172634693933</v>
      </c>
      <c r="E16" s="97"/>
      <c r="F16" s="111">
        <f>SUM(F7:F15)</f>
        <v>0</v>
      </c>
      <c r="G16" s="111">
        <f>SUM(G7:G15)</f>
        <v>1.7263469387755097E-3</v>
      </c>
      <c r="H16" s="111">
        <f t="shared" ref="H16:AS16" si="0">SUM(H7:H15)</f>
        <v>0</v>
      </c>
      <c r="I16" s="111">
        <f t="shared" si="0"/>
        <v>0</v>
      </c>
      <c r="J16" s="111">
        <f t="shared" si="0"/>
        <v>0</v>
      </c>
      <c r="K16" s="111">
        <f t="shared" si="0"/>
        <v>0</v>
      </c>
      <c r="L16" s="111">
        <f t="shared" si="0"/>
        <v>0</v>
      </c>
      <c r="M16" s="111">
        <f t="shared" si="0"/>
        <v>0</v>
      </c>
      <c r="N16" s="111">
        <f t="shared" si="0"/>
        <v>0</v>
      </c>
      <c r="O16" s="111">
        <f t="shared" si="0"/>
        <v>0</v>
      </c>
      <c r="P16" s="111"/>
      <c r="Q16" s="111">
        <f t="shared" si="0"/>
        <v>0</v>
      </c>
      <c r="R16" s="111">
        <f t="shared" si="0"/>
        <v>0</v>
      </c>
      <c r="S16" s="111">
        <f t="shared" si="0"/>
        <v>5.414229813664595</v>
      </c>
      <c r="T16" s="111">
        <f t="shared" si="0"/>
        <v>8.8023726708074541</v>
      </c>
      <c r="U16" s="111">
        <f t="shared" si="0"/>
        <v>8.8023726708074541</v>
      </c>
      <c r="V16" s="111">
        <f t="shared" si="0"/>
        <v>8.8023726708074541</v>
      </c>
      <c r="W16" s="111">
        <f t="shared" si="0"/>
        <v>9.4423726708074547</v>
      </c>
      <c r="X16" s="111">
        <f t="shared" si="0"/>
        <v>8.8023726708074541</v>
      </c>
      <c r="Y16" s="111">
        <f t="shared" si="0"/>
        <v>8.8023726708074541</v>
      </c>
      <c r="Z16" s="111">
        <f t="shared" si="0"/>
        <v>8.8023726708074541</v>
      </c>
      <c r="AA16" s="111">
        <f t="shared" si="0"/>
        <v>11.942372670807455</v>
      </c>
      <c r="AB16" s="111">
        <f t="shared" si="0"/>
        <v>8.8023726708074541</v>
      </c>
      <c r="AC16" s="111">
        <f t="shared" si="0"/>
        <v>8.8023726708074541</v>
      </c>
      <c r="AD16" s="111">
        <f t="shared" si="0"/>
        <v>8.8023726708074541</v>
      </c>
      <c r="AE16" s="111">
        <f t="shared" si="0"/>
        <v>9.4423726708074547</v>
      </c>
      <c r="AF16" s="111">
        <f t="shared" si="0"/>
        <v>8.8023726708074541</v>
      </c>
      <c r="AG16" s="111">
        <f t="shared" si="0"/>
        <v>8.8023726708074541</v>
      </c>
      <c r="AH16" s="111">
        <f t="shared" si="0"/>
        <v>8.8023726708074541</v>
      </c>
      <c r="AI16" s="111">
        <f t="shared" si="0"/>
        <v>9.4423726708074547</v>
      </c>
      <c r="AJ16" s="111">
        <f t="shared" si="0"/>
        <v>8.8023726708074541</v>
      </c>
      <c r="AK16" s="111">
        <f t="shared" si="0"/>
        <v>8.8023726708074541</v>
      </c>
      <c r="AL16" s="111">
        <f t="shared" si="0"/>
        <v>8.8023726708074541</v>
      </c>
      <c r="AM16" s="111">
        <f t="shared" si="0"/>
        <v>9.4423726708074547</v>
      </c>
      <c r="AN16" s="111">
        <f t="shared" si="0"/>
        <v>8.8023726708074541</v>
      </c>
      <c r="AO16" s="111">
        <f t="shared" si="0"/>
        <v>8.8023726708074541</v>
      </c>
      <c r="AP16" s="111">
        <f t="shared" si="0"/>
        <v>8.8023726708074541</v>
      </c>
      <c r="AQ16" s="111">
        <f t="shared" si="0"/>
        <v>11.942372670807455</v>
      </c>
      <c r="AR16" s="111">
        <f t="shared" si="0"/>
        <v>8.8023726708074541</v>
      </c>
      <c r="AS16" s="111">
        <f t="shared" si="0"/>
        <v>8.8023726708074541</v>
      </c>
      <c r="AT16" s="111">
        <f t="shared" ref="AT16:BC16" si="1">SUM(AT7:AT15)</f>
        <v>8.8023726708074541</v>
      </c>
      <c r="AU16" s="111">
        <f t="shared" si="1"/>
        <v>9.4423726708074547</v>
      </c>
      <c r="AV16" s="111">
        <f t="shared" si="1"/>
        <v>8.8023726708074541</v>
      </c>
      <c r="AW16" s="111">
        <f t="shared" si="1"/>
        <v>8.8023726708074541</v>
      </c>
      <c r="AX16" s="111">
        <f t="shared" si="1"/>
        <v>8.8023726708074541</v>
      </c>
      <c r="AY16" s="111">
        <f t="shared" si="1"/>
        <v>9.4423726708074547</v>
      </c>
      <c r="AZ16" s="111">
        <f t="shared" si="1"/>
        <v>8.8023726708074541</v>
      </c>
      <c r="BA16" s="111">
        <f t="shared" si="1"/>
        <v>8.8023726708074541</v>
      </c>
      <c r="BB16" s="111">
        <f t="shared" si="1"/>
        <v>8.8023726708074541</v>
      </c>
      <c r="BC16" s="590">
        <f t="shared" si="1"/>
        <v>9.5023726708074534</v>
      </c>
      <c r="BD16" s="111">
        <f t="shared" ref="BD16:CK16" si="2">SUM(BD7:BD15)</f>
        <v>8.8023726708074541</v>
      </c>
      <c r="BE16" s="111">
        <f t="shared" si="2"/>
        <v>8.8023726708074541</v>
      </c>
      <c r="BF16" s="111">
        <f t="shared" si="2"/>
        <v>8.8023726708074541</v>
      </c>
      <c r="BG16" s="111">
        <f t="shared" si="2"/>
        <v>9.4023726708074538</v>
      </c>
      <c r="BH16" s="111">
        <f t="shared" si="2"/>
        <v>8.8023726708074541</v>
      </c>
      <c r="BI16" s="111">
        <f t="shared" si="2"/>
        <v>8.8023726708074541</v>
      </c>
      <c r="BJ16" s="111">
        <f t="shared" si="2"/>
        <v>8.8023726708074541</v>
      </c>
      <c r="BK16" s="111">
        <f t="shared" si="2"/>
        <v>11.302372670807454</v>
      </c>
      <c r="BL16" s="111">
        <f t="shared" si="2"/>
        <v>8.8023726708074541</v>
      </c>
      <c r="BM16" s="111">
        <f t="shared" si="2"/>
        <v>8.8023726708074541</v>
      </c>
      <c r="BN16" s="111">
        <f t="shared" si="2"/>
        <v>8.8023726708074541</v>
      </c>
      <c r="BO16" s="111">
        <f t="shared" si="2"/>
        <v>9.4023726708074538</v>
      </c>
      <c r="BP16" s="111">
        <f t="shared" si="2"/>
        <v>8.8023726708074541</v>
      </c>
      <c r="BQ16" s="111">
        <f t="shared" si="2"/>
        <v>8.8023726708074541</v>
      </c>
      <c r="BR16" s="111">
        <f t="shared" si="2"/>
        <v>8.8023726708074541</v>
      </c>
      <c r="BS16" s="111">
        <f t="shared" si="2"/>
        <v>9.4023726708074538</v>
      </c>
      <c r="BT16" s="111">
        <f t="shared" si="2"/>
        <v>8.8023726708074541</v>
      </c>
      <c r="BU16" s="111">
        <f t="shared" si="2"/>
        <v>8.8023726708074541</v>
      </c>
      <c r="BV16" s="111">
        <f t="shared" si="2"/>
        <v>8.8023726708074541</v>
      </c>
      <c r="BW16" s="111">
        <f t="shared" si="2"/>
        <v>9.4023726708074538</v>
      </c>
      <c r="BX16" s="111">
        <f t="shared" si="2"/>
        <v>8.8023726708074541</v>
      </c>
      <c r="BY16" s="111">
        <f t="shared" si="2"/>
        <v>8.8023726708074541</v>
      </c>
      <c r="BZ16" s="111">
        <f t="shared" si="2"/>
        <v>8.8023726708074541</v>
      </c>
      <c r="CA16" s="111">
        <f t="shared" si="2"/>
        <v>9.4023726708074538</v>
      </c>
      <c r="CB16" s="111">
        <f t="shared" si="2"/>
        <v>8.8023726708074541</v>
      </c>
      <c r="CC16" s="111">
        <f t="shared" si="2"/>
        <v>8.8023726708074541</v>
      </c>
      <c r="CD16" s="111">
        <f t="shared" si="2"/>
        <v>8.8023726708074541</v>
      </c>
      <c r="CE16" s="111">
        <f t="shared" si="2"/>
        <v>11.202372670807454</v>
      </c>
      <c r="CF16" s="111">
        <f t="shared" si="2"/>
        <v>8.8023726708074541</v>
      </c>
      <c r="CG16" s="111">
        <f t="shared" si="2"/>
        <v>8.8023726708074541</v>
      </c>
      <c r="CH16" s="111">
        <f t="shared" si="2"/>
        <v>8.8023726708074541</v>
      </c>
      <c r="CI16" s="111">
        <f t="shared" si="2"/>
        <v>9.4023726708074538</v>
      </c>
      <c r="CJ16" s="111">
        <f t="shared" si="2"/>
        <v>8.0562857142857141</v>
      </c>
      <c r="CK16" s="111">
        <f t="shared" si="2"/>
        <v>4.028142857142857</v>
      </c>
    </row>
    <row r="17" spans="2:89" s="2" customFormat="1" ht="15" customHeight="1">
      <c r="B17" s="114" t="s">
        <v>342</v>
      </c>
      <c r="C17" s="233" t="s">
        <v>117</v>
      </c>
      <c r="D17" s="523">
        <f>SUM(F17:CK17)</f>
        <v>534.6899999999996</v>
      </c>
      <c r="E17" s="97"/>
      <c r="F17" s="111">
        <f>(F16/$D$16)*('1. Landuse'!$D$11+'1. Landuse'!$D$12)</f>
        <v>0</v>
      </c>
      <c r="G17" s="111">
        <f>(G16/$D$16)*('1. Landuse'!$D$11+'1. Landuse'!$D$12)</f>
        <v>1.45276517472562E-3</v>
      </c>
      <c r="H17" s="111">
        <f>(H16/$D$16)*('1. Landuse'!$D$11+'1. Landuse'!$D$12)</f>
        <v>0</v>
      </c>
      <c r="I17" s="111">
        <f>(I16/$D$16)*('1. Landuse'!$D$11+'1. Landuse'!$D$12)</f>
        <v>0</v>
      </c>
      <c r="J17" s="111">
        <f>(J16/$D$16)*('1. Landuse'!$D$11+'1. Landuse'!$D$12)</f>
        <v>0</v>
      </c>
      <c r="K17" s="111">
        <f>(K16/$D$16)*('1. Landuse'!$D$11+'1. Landuse'!$D$12)</f>
        <v>0</v>
      </c>
      <c r="L17" s="111">
        <f>(L16/$D$16)*('1. Landuse'!$D$11+'1. Landuse'!$D$12)</f>
        <v>0</v>
      </c>
      <c r="M17" s="111">
        <f>(M16/$D$16)*('1. Landuse'!$D$11+'1. Landuse'!$D$12)</f>
        <v>0</v>
      </c>
      <c r="N17" s="111">
        <f>(N16/$D$16)*('1. Landuse'!$D$11+'1. Landuse'!$D$12)</f>
        <v>0</v>
      </c>
      <c r="O17" s="111">
        <f>(O16/$D$16)*('1. Landuse'!$D$11+'1. Landuse'!$D$12)</f>
        <v>0</v>
      </c>
      <c r="P17" s="111"/>
      <c r="Q17" s="111">
        <f>(Q16/$D$16)*('1. Landuse'!$D$11+'1. Landuse'!$D$12)</f>
        <v>0</v>
      </c>
      <c r="R17" s="111">
        <f>(R16/$D$16)*('1. Landuse'!$D$11+'1. Landuse'!$D$12)</f>
        <v>0</v>
      </c>
      <c r="S17" s="111">
        <f>(S16/$D$16)*('1. Landuse'!$D$11+'1. Landuse'!$D$12)</f>
        <v>4.5562130905344809</v>
      </c>
      <c r="T17" s="111">
        <f>(T16/$D$16)*('1. Landuse'!$D$11+'1. Landuse'!$D$12)</f>
        <v>7.4074221026371037</v>
      </c>
      <c r="U17" s="111">
        <f>(U16/$D$16)*('1. Landuse'!$D$11+'1. Landuse'!$D$12)</f>
        <v>7.4074221026371037</v>
      </c>
      <c r="V17" s="111">
        <f>(V16/$D$16)*('1. Landuse'!$D$11+'1. Landuse'!$D$12)</f>
        <v>7.4074221026371037</v>
      </c>
      <c r="W17" s="111">
        <f>(W16/$D$16)*('1. Landuse'!$D$11+'1. Landuse'!$D$12)</f>
        <v>7.9459984982275973</v>
      </c>
      <c r="X17" s="111">
        <f>(X16/$D$16)*('1. Landuse'!$D$11+'1. Landuse'!$D$12)</f>
        <v>7.4074221026371037</v>
      </c>
      <c r="Y17" s="111">
        <f>(Y16/$D$16)*('1. Landuse'!$D$11+'1. Landuse'!$D$12)</f>
        <v>7.4074221026371037</v>
      </c>
      <c r="Z17" s="111">
        <f>(Z16/$D$16)*('1. Landuse'!$D$11+'1. Landuse'!$D$12)</f>
        <v>7.4074221026371037</v>
      </c>
      <c r="AA17" s="111">
        <f>(AA16/$D$16)*('1. Landuse'!$D$11+'1. Landuse'!$D$12)</f>
        <v>10.049812543502965</v>
      </c>
      <c r="AB17" s="111">
        <f>(AB16/$D$16)*('1. Landuse'!$D$11+'1. Landuse'!$D$12)</f>
        <v>7.4074221026371037</v>
      </c>
      <c r="AC17" s="111">
        <f>(AC16/$D$16)*('1. Landuse'!$D$11+'1. Landuse'!$D$12)</f>
        <v>7.4074221026371037</v>
      </c>
      <c r="AD17" s="111">
        <f>(AD16/$D$16)*('1. Landuse'!$D$11+'1. Landuse'!$D$12)</f>
        <v>7.4074221026371037</v>
      </c>
      <c r="AE17" s="111">
        <f>(AE16/$D$16)*('1. Landuse'!$D$11+'1. Landuse'!$D$12)</f>
        <v>7.9459984982275973</v>
      </c>
      <c r="AF17" s="111">
        <f>(AF16/$D$16)*('1. Landuse'!$D$11+'1. Landuse'!$D$12)</f>
        <v>7.4074221026371037</v>
      </c>
      <c r="AG17" s="111">
        <f>(AG16/$D$16)*('1. Landuse'!$D$11+'1. Landuse'!$D$12)</f>
        <v>7.4074221026371037</v>
      </c>
      <c r="AH17" s="111">
        <f>(AH16/$D$16)*('1. Landuse'!$D$11+'1. Landuse'!$D$12)</f>
        <v>7.4074221026371037</v>
      </c>
      <c r="AI17" s="111">
        <f>(AI16/$D$16)*('1. Landuse'!$D$11+'1. Landuse'!$D$12)</f>
        <v>7.9459984982275973</v>
      </c>
      <c r="AJ17" s="111">
        <f>(AJ16/$D$16)*('1. Landuse'!$D$11+'1. Landuse'!$D$12)</f>
        <v>7.4074221026371037</v>
      </c>
      <c r="AK17" s="111">
        <f>(AK16/$D$16)*('1. Landuse'!$D$11+'1. Landuse'!$D$12)</f>
        <v>7.4074221026371037</v>
      </c>
      <c r="AL17" s="111">
        <f>(AL16/$D$16)*('1. Landuse'!$D$11+'1. Landuse'!$D$12)</f>
        <v>7.4074221026371037</v>
      </c>
      <c r="AM17" s="111">
        <f>(AM16/$D$16)*('1. Landuse'!$D$11+'1. Landuse'!$D$12)</f>
        <v>7.9459984982275973</v>
      </c>
      <c r="AN17" s="111">
        <f>(AN16/$D$16)*('1. Landuse'!$D$11+'1. Landuse'!$D$12)</f>
        <v>7.4074221026371037</v>
      </c>
      <c r="AO17" s="111">
        <f>(AO16/$D$16)*('1. Landuse'!$D$11+'1. Landuse'!$D$12)</f>
        <v>7.4074221026371037</v>
      </c>
      <c r="AP17" s="111">
        <f>(AP16/$D$16)*('1. Landuse'!$D$11+'1. Landuse'!$D$12)</f>
        <v>7.4074221026371037</v>
      </c>
      <c r="AQ17" s="111">
        <f>(AQ16/$D$16)*('1. Landuse'!$D$11+'1. Landuse'!$D$12)</f>
        <v>10.049812543502965</v>
      </c>
      <c r="AR17" s="111">
        <f>(AR16/$D$16)*('1. Landuse'!$D$11+'1. Landuse'!$D$12)</f>
        <v>7.4074221026371037</v>
      </c>
      <c r="AS17" s="111">
        <f>(AS16/$D$16)*('1. Landuse'!$D$11+'1. Landuse'!$D$12)</f>
        <v>7.4074221026371037</v>
      </c>
      <c r="AT17" s="111">
        <f>(AT16/$D$16)*('1. Landuse'!$D$11+'1. Landuse'!$D$12)</f>
        <v>7.4074221026371037</v>
      </c>
      <c r="AU17" s="111">
        <f>(AU16/$D$16)*('1. Landuse'!$D$11+'1. Landuse'!$D$12)</f>
        <v>7.9459984982275973</v>
      </c>
      <c r="AV17" s="111">
        <f>(AV16/$D$16)*('1. Landuse'!$D$11+'1. Landuse'!$D$12)</f>
        <v>7.4074221026371037</v>
      </c>
      <c r="AW17" s="111">
        <f>(AW16/$D$16)*('1. Landuse'!$D$11+'1. Landuse'!$D$12)</f>
        <v>7.4074221026371037</v>
      </c>
      <c r="AX17" s="111">
        <f>(AX16/$D$16)*('1. Landuse'!$D$11+'1. Landuse'!$D$12)</f>
        <v>7.4074221026371037</v>
      </c>
      <c r="AY17" s="111">
        <f>(AY16/$D$16)*('1. Landuse'!$D$11+'1. Landuse'!$D$12)</f>
        <v>7.9459984982275973</v>
      </c>
      <c r="AZ17" s="111">
        <f>(AZ16/$D$16)*('1. Landuse'!$D$11+'1. Landuse'!$D$12)</f>
        <v>7.4074221026371037</v>
      </c>
      <c r="BA17" s="111">
        <f>(BA16/$D$16)*('1. Landuse'!$D$11+'1. Landuse'!$D$12)</f>
        <v>7.4074221026371037</v>
      </c>
      <c r="BB17" s="111">
        <f>(BB16/$D$16)*('1. Landuse'!$D$11+'1. Landuse'!$D$12)</f>
        <v>7.4074221026371037</v>
      </c>
      <c r="BC17" s="590">
        <f>(BC16/$D$16)*('1. Landuse'!$D$11+'1. Landuse'!$D$12)</f>
        <v>7.9964900353142054</v>
      </c>
      <c r="BD17" s="111">
        <f>(BD16/$D$16)*('1. Landuse'!$D$11+'1. Landuse'!$D$12)</f>
        <v>7.4074221026371037</v>
      </c>
      <c r="BE17" s="111">
        <f>(BE16/$D$16)*('1. Landuse'!$D$11+'1. Landuse'!$D$12)</f>
        <v>7.4074221026371037</v>
      </c>
      <c r="BF17" s="111">
        <f>(BF16/$D$16)*('1. Landuse'!$D$11+'1. Landuse'!$D$12)</f>
        <v>7.4074221026371037</v>
      </c>
      <c r="BG17" s="111">
        <f>(BG16/$D$16)*('1. Landuse'!$D$11+'1. Landuse'!$D$12)</f>
        <v>7.9123374735031913</v>
      </c>
      <c r="BH17" s="111">
        <f>(BH16/$D$16)*('1. Landuse'!$D$11+'1. Landuse'!$D$12)</f>
        <v>7.4074221026371037</v>
      </c>
      <c r="BI17" s="111">
        <f>(BI16/$D$16)*('1. Landuse'!$D$11+'1. Landuse'!$D$12)</f>
        <v>7.4074221026371037</v>
      </c>
      <c r="BJ17" s="111">
        <f>(BJ16/$D$16)*('1. Landuse'!$D$11+'1. Landuse'!$D$12)</f>
        <v>7.4074221026371037</v>
      </c>
      <c r="BK17" s="111">
        <f>(BK16/$D$16)*('1. Landuse'!$D$11+'1. Landuse'!$D$12)</f>
        <v>9.5112361479124701</v>
      </c>
      <c r="BL17" s="111">
        <f>(BL16/$D$16)*('1. Landuse'!$D$11+'1. Landuse'!$D$12)</f>
        <v>7.4074221026371037</v>
      </c>
      <c r="BM17" s="111">
        <f>(BM16/$D$16)*('1. Landuse'!$D$11+'1. Landuse'!$D$12)</f>
        <v>7.4074221026371037</v>
      </c>
      <c r="BN17" s="111">
        <f>(BN16/$D$16)*('1. Landuse'!$D$11+'1. Landuse'!$D$12)</f>
        <v>7.4074221026371037</v>
      </c>
      <c r="BO17" s="111">
        <f>(BO16/$D$16)*('1. Landuse'!$D$11+'1. Landuse'!$D$12)</f>
        <v>7.9123374735031913</v>
      </c>
      <c r="BP17" s="111">
        <f>(BP16/$D$16)*('1. Landuse'!$D$11+'1. Landuse'!$D$12)</f>
        <v>7.4074221026371037</v>
      </c>
      <c r="BQ17" s="111">
        <f>(BQ16/$D$16)*('1. Landuse'!$D$11+'1. Landuse'!$D$12)</f>
        <v>7.4074221026371037</v>
      </c>
      <c r="BR17" s="111">
        <f>(BR16/$D$16)*('1. Landuse'!$D$11+'1. Landuse'!$D$12)</f>
        <v>7.4074221026371037</v>
      </c>
      <c r="BS17" s="111">
        <f>(BS16/$D$16)*('1. Landuse'!$D$11+'1. Landuse'!$D$12)</f>
        <v>7.9123374735031913</v>
      </c>
      <c r="BT17" s="111">
        <f>(BT16/$D$16)*('1. Landuse'!$D$11+'1. Landuse'!$D$12)</f>
        <v>7.4074221026371037</v>
      </c>
      <c r="BU17" s="111">
        <f>(BU16/$D$16)*('1. Landuse'!$D$11+'1. Landuse'!$D$12)</f>
        <v>7.4074221026371037</v>
      </c>
      <c r="BV17" s="111">
        <f>(BV16/$D$16)*('1. Landuse'!$D$11+'1. Landuse'!$D$12)</f>
        <v>7.4074221026371037</v>
      </c>
      <c r="BW17" s="111">
        <f>(BW16/$D$16)*('1. Landuse'!$D$11+'1. Landuse'!$D$12)</f>
        <v>7.9123374735031913</v>
      </c>
      <c r="BX17" s="111">
        <f>(BX16/$D$16)*('1. Landuse'!$D$11+'1. Landuse'!$D$12)</f>
        <v>7.4074221026371037</v>
      </c>
      <c r="BY17" s="111">
        <f>(BY16/$D$16)*('1. Landuse'!$D$11+'1. Landuse'!$D$12)</f>
        <v>7.4074221026371037</v>
      </c>
      <c r="BZ17" s="111">
        <f>(BZ16/$D$16)*('1. Landuse'!$D$11+'1. Landuse'!$D$12)</f>
        <v>7.4074221026371037</v>
      </c>
      <c r="CA17" s="111">
        <f>(CA16/$D$16)*('1. Landuse'!$D$11+'1. Landuse'!$D$12)</f>
        <v>7.9123374735031913</v>
      </c>
      <c r="CB17" s="111">
        <f>(CB16/$D$16)*('1. Landuse'!$D$11+'1. Landuse'!$D$12)</f>
        <v>7.4074221026371037</v>
      </c>
      <c r="CC17" s="111">
        <f>(CC16/$D$16)*('1. Landuse'!$D$11+'1. Landuse'!$D$12)</f>
        <v>7.4074221026371037</v>
      </c>
      <c r="CD17" s="111">
        <f>(CD16/$D$16)*('1. Landuse'!$D$11+'1. Landuse'!$D$12)</f>
        <v>7.4074221026371037</v>
      </c>
      <c r="CE17" s="111">
        <f>(CE16/$D$16)*('1. Landuse'!$D$11+'1. Landuse'!$D$12)</f>
        <v>9.427083586101455</v>
      </c>
      <c r="CF17" s="111">
        <f>(CF16/$D$16)*('1. Landuse'!$D$11+'1. Landuse'!$D$12)</f>
        <v>7.4074221026371037</v>
      </c>
      <c r="CG17" s="111">
        <f>(CG16/$D$16)*('1. Landuse'!$D$11+'1. Landuse'!$D$12)</f>
        <v>7.4074221026371037</v>
      </c>
      <c r="CH17" s="111">
        <f>(CH16/$D$16)*('1. Landuse'!$D$11+'1. Landuse'!$D$12)</f>
        <v>7.4074221026371037</v>
      </c>
      <c r="CI17" s="111">
        <f>(CI16/$D$16)*('1. Landuse'!$D$11+'1. Landuse'!$D$12)</f>
        <v>7.9123374735031913</v>
      </c>
      <c r="CJ17" s="111">
        <f>(CJ16/$D$16)*('1. Landuse'!$D$11+'1. Landuse'!$D$12)</f>
        <v>6.7795708153862284</v>
      </c>
      <c r="CK17" s="111">
        <f>(CK16/$D$16)*('1. Landuse'!$D$11+'1. Landuse'!$D$12)</f>
        <v>3.3897854076931142</v>
      </c>
    </row>
    <row r="18" spans="2:89" s="2" customFormat="1" ht="15" customHeight="1">
      <c r="B18" s="92"/>
      <c r="C18" s="99"/>
      <c r="D18" s="45"/>
      <c r="E18" s="97"/>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312"/>
    </row>
    <row r="19" spans="2:89" s="5" customFormat="1" ht="15" customHeight="1">
      <c r="B19" s="52" t="s">
        <v>124</v>
      </c>
      <c r="C19" s="29" t="s">
        <v>113</v>
      </c>
      <c r="D19" s="53" t="s">
        <v>4</v>
      </c>
      <c r="E19" s="94"/>
      <c r="F19" s="107" t="s">
        <v>5</v>
      </c>
      <c r="G19" s="107" t="s">
        <v>6</v>
      </c>
      <c r="H19" s="107" t="s">
        <v>7</v>
      </c>
      <c r="I19" s="107" t="s">
        <v>8</v>
      </c>
      <c r="J19" s="107" t="s">
        <v>9</v>
      </c>
      <c r="K19" s="107" t="s">
        <v>10</v>
      </c>
      <c r="L19" s="107" t="s">
        <v>11</v>
      </c>
      <c r="M19" s="107" t="s">
        <v>12</v>
      </c>
      <c r="N19" s="107" t="s">
        <v>13</v>
      </c>
      <c r="O19" s="107" t="s">
        <v>14</v>
      </c>
      <c r="P19" s="107" t="s">
        <v>15</v>
      </c>
      <c r="Q19" s="107" t="s">
        <v>16</v>
      </c>
      <c r="R19" s="107" t="s">
        <v>17</v>
      </c>
      <c r="S19" s="107" t="s">
        <v>18</v>
      </c>
      <c r="T19" s="107" t="s">
        <v>19</v>
      </c>
      <c r="U19" s="108" t="s">
        <v>20</v>
      </c>
      <c r="V19" s="107" t="s">
        <v>21</v>
      </c>
      <c r="W19" s="107" t="s">
        <v>22</v>
      </c>
      <c r="X19" s="107" t="s">
        <v>23</v>
      </c>
      <c r="Y19" s="109" t="s">
        <v>24</v>
      </c>
      <c r="Z19" s="107" t="s">
        <v>25</v>
      </c>
      <c r="AA19" s="107" t="s">
        <v>26</v>
      </c>
      <c r="AB19" s="107" t="s">
        <v>27</v>
      </c>
      <c r="AC19" s="107" t="s">
        <v>28</v>
      </c>
      <c r="AD19" s="107" t="s">
        <v>29</v>
      </c>
      <c r="AE19" s="108" t="s">
        <v>30</v>
      </c>
      <c r="AF19" s="107" t="s">
        <v>31</v>
      </c>
      <c r="AG19" s="107" t="s">
        <v>32</v>
      </c>
      <c r="AH19" s="107" t="s">
        <v>33</v>
      </c>
      <c r="AI19" s="107" t="s">
        <v>34</v>
      </c>
      <c r="AJ19" s="107" t="s">
        <v>35</v>
      </c>
      <c r="AK19" s="107" t="s">
        <v>36</v>
      </c>
      <c r="AL19" s="107" t="s">
        <v>37</v>
      </c>
      <c r="AM19" s="107" t="s">
        <v>38</v>
      </c>
      <c r="AN19" s="107" t="s">
        <v>39</v>
      </c>
      <c r="AO19" s="107" t="s">
        <v>40</v>
      </c>
      <c r="AP19" s="107" t="s">
        <v>41</v>
      </c>
      <c r="AQ19" s="107" t="s">
        <v>42</v>
      </c>
      <c r="AR19" s="107" t="s">
        <v>43</v>
      </c>
      <c r="AS19" s="107" t="s">
        <v>53</v>
      </c>
      <c r="AT19" s="107" t="s">
        <v>331</v>
      </c>
      <c r="AU19" s="107" t="s">
        <v>332</v>
      </c>
      <c r="AV19" s="107" t="s">
        <v>333</v>
      </c>
      <c r="AW19" s="107" t="s">
        <v>334</v>
      </c>
      <c r="AX19" s="107" t="s">
        <v>335</v>
      </c>
      <c r="AY19" s="107" t="s">
        <v>336</v>
      </c>
      <c r="AZ19" s="107" t="s">
        <v>337</v>
      </c>
      <c r="BA19" s="107" t="s">
        <v>338</v>
      </c>
      <c r="BB19" s="107" t="s">
        <v>339</v>
      </c>
      <c r="BC19" s="589" t="s">
        <v>340</v>
      </c>
      <c r="BD19" s="107" t="s">
        <v>478</v>
      </c>
      <c r="BE19" s="107" t="s">
        <v>479</v>
      </c>
      <c r="BF19" s="107" t="s">
        <v>480</v>
      </c>
      <c r="BG19" s="107" t="s">
        <v>481</v>
      </c>
      <c r="BH19" s="107" t="s">
        <v>482</v>
      </c>
      <c r="BI19" s="107" t="s">
        <v>483</v>
      </c>
      <c r="BJ19" s="107" t="s">
        <v>484</v>
      </c>
      <c r="BK19" s="107" t="s">
        <v>485</v>
      </c>
      <c r="BL19" s="107" t="s">
        <v>486</v>
      </c>
      <c r="BM19" s="107" t="s">
        <v>487</v>
      </c>
      <c r="BN19" s="107" t="s">
        <v>488</v>
      </c>
      <c r="BO19" s="107" t="s">
        <v>489</v>
      </c>
      <c r="BP19" s="107" t="s">
        <v>490</v>
      </c>
      <c r="BQ19" s="107" t="s">
        <v>491</v>
      </c>
      <c r="BR19" s="107" t="s">
        <v>492</v>
      </c>
      <c r="BS19" s="107" t="s">
        <v>493</v>
      </c>
      <c r="BT19" s="107" t="s">
        <v>494</v>
      </c>
      <c r="BU19" s="107" t="s">
        <v>495</v>
      </c>
      <c r="BV19" s="107" t="s">
        <v>496</v>
      </c>
      <c r="BW19" s="107" t="s">
        <v>497</v>
      </c>
      <c r="BX19" s="107" t="s">
        <v>498</v>
      </c>
      <c r="BY19" s="107" t="s">
        <v>499</v>
      </c>
      <c r="BZ19" s="107" t="s">
        <v>500</v>
      </c>
      <c r="CA19" s="107" t="s">
        <v>501</v>
      </c>
      <c r="CB19" s="107" t="s">
        <v>502</v>
      </c>
      <c r="CC19" s="107" t="s">
        <v>503</v>
      </c>
      <c r="CD19" s="107" t="s">
        <v>504</v>
      </c>
      <c r="CE19" s="107" t="s">
        <v>505</v>
      </c>
      <c r="CF19" s="107" t="s">
        <v>506</v>
      </c>
      <c r="CG19" s="107" t="s">
        <v>507</v>
      </c>
      <c r="CH19" s="107" t="s">
        <v>508</v>
      </c>
      <c r="CI19" s="107" t="s">
        <v>509</v>
      </c>
      <c r="CJ19" s="107" t="s">
        <v>514</v>
      </c>
      <c r="CK19" s="107" t="s">
        <v>515</v>
      </c>
    </row>
    <row r="20" spans="2:89" s="2" customFormat="1" ht="15" customHeight="1">
      <c r="B20" s="116" t="s">
        <v>172</v>
      </c>
      <c r="C20" s="117"/>
      <c r="D20" s="528">
        <f>SUM(F20:CK20)</f>
        <v>1949.798521944205</v>
      </c>
      <c r="E20" s="100"/>
      <c r="F20" s="91">
        <f>F7*'8. Site Values'!D79</f>
        <v>0</v>
      </c>
      <c r="G20" s="91">
        <f>G7*'8. Site Values'!E79</f>
        <v>5.9687527138514978E-3</v>
      </c>
      <c r="H20" s="91">
        <f>H7*'8. Site Values'!F79</f>
        <v>0</v>
      </c>
      <c r="I20" s="91">
        <f>I7*'8. Site Values'!G79</f>
        <v>0</v>
      </c>
      <c r="J20" s="91">
        <f>J7*'8. Site Values'!H79</f>
        <v>0</v>
      </c>
      <c r="K20" s="91">
        <f>K7*'8. Site Values'!I79</f>
        <v>0</v>
      </c>
      <c r="L20" s="91">
        <f>L7*'8. Site Values'!J79</f>
        <v>0</v>
      </c>
      <c r="M20" s="91">
        <f>M7*'8. Site Values'!K79</f>
        <v>0</v>
      </c>
      <c r="N20" s="91">
        <f>N7*'8. Site Values'!L79</f>
        <v>0</v>
      </c>
      <c r="O20" s="91">
        <f>O7*'8. Site Values'!M79</f>
        <v>0</v>
      </c>
      <c r="P20" s="91">
        <f>P7*'8. Site Values'!N79</f>
        <v>0</v>
      </c>
      <c r="Q20" s="91">
        <f>Q7*'8. Site Values'!O79</f>
        <v>0</v>
      </c>
      <c r="R20" s="91">
        <f>R7*'8. Site Values'!P79</f>
        <v>0</v>
      </c>
      <c r="S20" s="91">
        <f>S7*'8. Site Values'!Q79</f>
        <v>13.927089665653497</v>
      </c>
      <c r="T20" s="91">
        <f>T7*'8. Site Values'!R79</f>
        <v>27.854179331306995</v>
      </c>
      <c r="U20" s="91">
        <f>U7*'8. Site Values'!S79</f>
        <v>27.854179331306995</v>
      </c>
      <c r="V20" s="91">
        <f>V7*'8. Site Values'!T79</f>
        <v>27.854179331306995</v>
      </c>
      <c r="W20" s="91">
        <f>W7*'8. Site Values'!U79</f>
        <v>27.854179331306995</v>
      </c>
      <c r="X20" s="91">
        <f>X7*'8. Site Values'!V79</f>
        <v>27.854179331306995</v>
      </c>
      <c r="Y20" s="91">
        <f>Y7*'8. Site Values'!W79</f>
        <v>27.854179331306995</v>
      </c>
      <c r="Z20" s="91">
        <f>Z7*'8. Site Values'!X79</f>
        <v>27.854179331306995</v>
      </c>
      <c r="AA20" s="91">
        <f>AA7*'8. Site Values'!Y79</f>
        <v>27.854179331306995</v>
      </c>
      <c r="AB20" s="91">
        <f>AB7*'8. Site Values'!Z79</f>
        <v>27.854179331306995</v>
      </c>
      <c r="AC20" s="91">
        <f>AC7*'8. Site Values'!AA79</f>
        <v>27.854179331306995</v>
      </c>
      <c r="AD20" s="91">
        <f>AD7*'8. Site Values'!AB79</f>
        <v>27.854179331306995</v>
      </c>
      <c r="AE20" s="91">
        <f>AE7*'8. Site Values'!AC79</f>
        <v>27.854179331306995</v>
      </c>
      <c r="AF20" s="91">
        <f>AF7*'8. Site Values'!AD79</f>
        <v>27.854179331306995</v>
      </c>
      <c r="AG20" s="91">
        <f>AG7*'8. Site Values'!AE79</f>
        <v>27.854179331306995</v>
      </c>
      <c r="AH20" s="91">
        <f>AH7*'8. Site Values'!AF79</f>
        <v>27.854179331306995</v>
      </c>
      <c r="AI20" s="91">
        <f>AI7*'8. Site Values'!AG79</f>
        <v>27.854179331306995</v>
      </c>
      <c r="AJ20" s="91">
        <f>AJ7*'8. Site Values'!AH79</f>
        <v>27.854179331306995</v>
      </c>
      <c r="AK20" s="91">
        <f>AK7*'8. Site Values'!AI79</f>
        <v>27.854179331306995</v>
      </c>
      <c r="AL20" s="91">
        <f>AL7*'8. Site Values'!AJ79</f>
        <v>27.854179331306995</v>
      </c>
      <c r="AM20" s="91">
        <f>AM7*'8. Site Values'!AK79</f>
        <v>27.854179331306995</v>
      </c>
      <c r="AN20" s="91">
        <f>AN7*'8. Site Values'!AL79</f>
        <v>27.854179331306995</v>
      </c>
      <c r="AO20" s="91">
        <f>AO7*'8. Site Values'!AM79</f>
        <v>27.854179331306995</v>
      </c>
      <c r="AP20" s="91">
        <f>AP7*'8. Site Values'!AN79</f>
        <v>27.854179331306995</v>
      </c>
      <c r="AQ20" s="91">
        <f>AQ7*'8. Site Values'!AO79</f>
        <v>27.854179331306995</v>
      </c>
      <c r="AR20" s="91">
        <f>AR7*'8. Site Values'!AP79</f>
        <v>27.854179331306995</v>
      </c>
      <c r="AS20" s="91">
        <f>AS7*'8. Site Values'!AQ79</f>
        <v>27.854179331306995</v>
      </c>
      <c r="AT20" s="91">
        <f>AT7*'8. Site Values'!AR79</f>
        <v>27.854179331306995</v>
      </c>
      <c r="AU20" s="91">
        <f>AU7*'8. Site Values'!AS79</f>
        <v>27.854179331306995</v>
      </c>
      <c r="AV20" s="91">
        <f>AV7*'8. Site Values'!AT79</f>
        <v>27.854179331306995</v>
      </c>
      <c r="AW20" s="91">
        <f>AW7*'8. Site Values'!AU79</f>
        <v>27.854179331306995</v>
      </c>
      <c r="AX20" s="91">
        <f>AX7*'8. Site Values'!AV79</f>
        <v>27.854179331306995</v>
      </c>
      <c r="AY20" s="91">
        <f>AY7*'8. Site Values'!AW79</f>
        <v>27.854179331306995</v>
      </c>
      <c r="AZ20" s="91">
        <f>AZ7*'8. Site Values'!AX79</f>
        <v>27.854179331306995</v>
      </c>
      <c r="BA20" s="91">
        <f>BA7*'8. Site Values'!AY79</f>
        <v>27.854179331306995</v>
      </c>
      <c r="BB20" s="91">
        <f>BB7*'8. Site Values'!AZ79</f>
        <v>27.854179331306995</v>
      </c>
      <c r="BC20" s="591">
        <f>BC7*'8. Site Values'!BA79</f>
        <v>27.854179331306995</v>
      </c>
      <c r="BD20" s="91">
        <f>BD7*'8. Site Values'!BB79</f>
        <v>27.854179331306995</v>
      </c>
      <c r="BE20" s="91">
        <f>BE7*'8. Site Values'!BC79</f>
        <v>27.854179331306995</v>
      </c>
      <c r="BF20" s="91">
        <f>BF7*'8. Site Values'!BD79</f>
        <v>27.854179331306995</v>
      </c>
      <c r="BG20" s="91">
        <f>BG7*'8. Site Values'!BE79</f>
        <v>27.854179331306995</v>
      </c>
      <c r="BH20" s="91">
        <f>BH7*'8. Site Values'!BF79</f>
        <v>27.854179331306995</v>
      </c>
      <c r="BI20" s="91">
        <f>BI7*'8. Site Values'!BG79</f>
        <v>27.854179331306995</v>
      </c>
      <c r="BJ20" s="91">
        <f>BJ7*'8. Site Values'!BH79</f>
        <v>27.854179331306995</v>
      </c>
      <c r="BK20" s="91">
        <f>BK7*'8. Site Values'!BI79</f>
        <v>27.854179331306995</v>
      </c>
      <c r="BL20" s="91">
        <f>BL7*'8. Site Values'!BJ79</f>
        <v>27.854179331306995</v>
      </c>
      <c r="BM20" s="91">
        <f>BM7*'8. Site Values'!BK79</f>
        <v>27.854179331306995</v>
      </c>
      <c r="BN20" s="91">
        <f>BN7*'8. Site Values'!BL79</f>
        <v>27.854179331306995</v>
      </c>
      <c r="BO20" s="91">
        <f>BO7*'8. Site Values'!BM79</f>
        <v>27.854179331306995</v>
      </c>
      <c r="BP20" s="91">
        <f>BP7*'8. Site Values'!BN79</f>
        <v>27.854179331306995</v>
      </c>
      <c r="BQ20" s="91">
        <f>BQ7*'8. Site Values'!BO79</f>
        <v>27.854179331306995</v>
      </c>
      <c r="BR20" s="91">
        <f>BR7*'8. Site Values'!BP79</f>
        <v>27.854179331306995</v>
      </c>
      <c r="BS20" s="91">
        <f>BS7*'8. Site Values'!BQ79</f>
        <v>27.854179331306995</v>
      </c>
      <c r="BT20" s="91">
        <f>BT7*'8. Site Values'!BR79</f>
        <v>27.854179331306995</v>
      </c>
      <c r="BU20" s="91">
        <f>BU7*'8. Site Values'!BS79</f>
        <v>27.854179331306995</v>
      </c>
      <c r="BV20" s="91">
        <f>BV7*'8. Site Values'!BT79</f>
        <v>27.854179331306995</v>
      </c>
      <c r="BW20" s="91">
        <f>BW7*'8. Site Values'!BU79</f>
        <v>27.854179331306995</v>
      </c>
      <c r="BX20" s="91">
        <f>BX7*'8. Site Values'!BV79</f>
        <v>27.854179331306995</v>
      </c>
      <c r="BY20" s="91">
        <f>BY7*'8. Site Values'!BW79</f>
        <v>27.854179331306995</v>
      </c>
      <c r="BZ20" s="91">
        <f>BZ7*'8. Site Values'!BX79</f>
        <v>27.854179331306995</v>
      </c>
      <c r="CA20" s="91">
        <f>CA7*'8. Site Values'!BY79</f>
        <v>27.854179331306995</v>
      </c>
      <c r="CB20" s="91">
        <f>CB7*'8. Site Values'!BZ79</f>
        <v>27.854179331306995</v>
      </c>
      <c r="CC20" s="91">
        <f>CC7*'8. Site Values'!CA79</f>
        <v>27.854179331306995</v>
      </c>
      <c r="CD20" s="91">
        <f>CD7*'8. Site Values'!CB79</f>
        <v>27.854179331306995</v>
      </c>
      <c r="CE20" s="91">
        <f>CE7*'8. Site Values'!CC79</f>
        <v>27.854179331306995</v>
      </c>
      <c r="CF20" s="91">
        <f>CF7*'8. Site Values'!CD79</f>
        <v>27.854179331306995</v>
      </c>
      <c r="CG20" s="91">
        <f>CG7*'8. Site Values'!CE79</f>
        <v>27.854179331306995</v>
      </c>
      <c r="CH20" s="91">
        <f>CH7*'8. Site Values'!CF79</f>
        <v>27.854179331306995</v>
      </c>
      <c r="CI20" s="91">
        <f>CI7*'8. Site Values'!CG79</f>
        <v>27.854179331306995</v>
      </c>
      <c r="CJ20" s="91">
        <f>CJ7*'8. Site Values'!CH79</f>
        <v>27.854179331306995</v>
      </c>
      <c r="CK20" s="91">
        <f>CK7*'8. Site Values'!CI79</f>
        <v>13.927089665653497</v>
      </c>
    </row>
    <row r="21" spans="2:89" s="2" customFormat="1" ht="15" customHeight="1">
      <c r="B21" s="116" t="s">
        <v>173</v>
      </c>
      <c r="C21" s="117"/>
      <c r="D21" s="528">
        <f t="shared" ref="D21:D26" si="3">SUM(F21:BC21)</f>
        <v>0</v>
      </c>
      <c r="E21" s="100"/>
      <c r="F21" s="91">
        <f>F8*'8. Site Values'!D80</f>
        <v>0</v>
      </c>
      <c r="G21" s="91">
        <f>G8*'8. Site Values'!E80</f>
        <v>0</v>
      </c>
      <c r="H21" s="91">
        <f>H8*'8. Site Values'!F80</f>
        <v>0</v>
      </c>
      <c r="I21" s="91">
        <f>I8*'8. Site Values'!G80</f>
        <v>0</v>
      </c>
      <c r="J21" s="91">
        <f>J8*'8. Site Values'!H80</f>
        <v>0</v>
      </c>
      <c r="K21" s="91">
        <f>K8*'8. Site Values'!I80</f>
        <v>0</v>
      </c>
      <c r="L21" s="91">
        <f>L8*'8. Site Values'!J80</f>
        <v>0</v>
      </c>
      <c r="M21" s="91">
        <f>M8*'8. Site Values'!K80</f>
        <v>0</v>
      </c>
      <c r="N21" s="91">
        <f>N8*'8. Site Values'!L80</f>
        <v>0</v>
      </c>
      <c r="O21" s="91">
        <f>O8*'8. Site Values'!M80</f>
        <v>0</v>
      </c>
      <c r="P21" s="91">
        <f>P8*'8. Site Values'!N80</f>
        <v>0</v>
      </c>
      <c r="Q21" s="91">
        <f>Q8*'8. Site Values'!O80</f>
        <v>0</v>
      </c>
      <c r="R21" s="91">
        <f>R8*'8. Site Values'!P80</f>
        <v>0</v>
      </c>
      <c r="S21" s="91">
        <f>S8*'8. Site Values'!Q80</f>
        <v>0</v>
      </c>
      <c r="T21" s="91">
        <f>T8*'8. Site Values'!R80</f>
        <v>0</v>
      </c>
      <c r="U21" s="91">
        <f>U8*'8. Site Values'!S80</f>
        <v>0</v>
      </c>
      <c r="V21" s="91">
        <f>V8*'8. Site Values'!T80</f>
        <v>0</v>
      </c>
      <c r="W21" s="91">
        <f>W8*'8. Site Values'!U80</f>
        <v>0</v>
      </c>
      <c r="X21" s="91">
        <f>X8*'8. Site Values'!V80</f>
        <v>0</v>
      </c>
      <c r="Y21" s="91">
        <f>Y8*'8. Site Values'!W80</f>
        <v>0</v>
      </c>
      <c r="Z21" s="91">
        <f>Z8*'8. Site Values'!X80</f>
        <v>0</v>
      </c>
      <c r="AA21" s="91">
        <f>AA8*'8. Site Values'!Y80</f>
        <v>0</v>
      </c>
      <c r="AB21" s="91">
        <f>AB8*'8. Site Values'!Z80</f>
        <v>0</v>
      </c>
      <c r="AC21" s="91">
        <f>AC8*'8. Site Values'!AA80</f>
        <v>0</v>
      </c>
      <c r="AD21" s="91">
        <f>AD8*'8. Site Values'!AB80</f>
        <v>0</v>
      </c>
      <c r="AE21" s="91">
        <f>AE8*'8. Site Values'!AC80</f>
        <v>0</v>
      </c>
      <c r="AF21" s="91">
        <f>AF8*'8. Site Values'!AD80</f>
        <v>0</v>
      </c>
      <c r="AG21" s="91">
        <f>AG8*'8. Site Values'!AE80</f>
        <v>0</v>
      </c>
      <c r="AH21" s="91">
        <f>AH8*'8. Site Values'!AF80</f>
        <v>0</v>
      </c>
      <c r="AI21" s="91">
        <f>AI8*'8. Site Values'!AG80</f>
        <v>0</v>
      </c>
      <c r="AJ21" s="91">
        <f>AJ8*'8. Site Values'!AH80</f>
        <v>0</v>
      </c>
      <c r="AK21" s="91">
        <f>AK8*'8. Site Values'!AI80</f>
        <v>0</v>
      </c>
      <c r="AL21" s="91">
        <f>AL8*'8. Site Values'!AJ80</f>
        <v>0</v>
      </c>
      <c r="AM21" s="91">
        <f>AM8*'8. Site Values'!AK80</f>
        <v>0</v>
      </c>
      <c r="AN21" s="91">
        <f>AN8*'8. Site Values'!AL80</f>
        <v>0</v>
      </c>
      <c r="AO21" s="91">
        <f>AO8*'8. Site Values'!AM80</f>
        <v>0</v>
      </c>
      <c r="AP21" s="91">
        <f>AP8*'8. Site Values'!AN80</f>
        <v>0</v>
      </c>
      <c r="AQ21" s="91">
        <f>AQ8*'8. Site Values'!AO80</f>
        <v>0</v>
      </c>
      <c r="AR21" s="91">
        <f>AR8*'8. Site Values'!AP80</f>
        <v>0</v>
      </c>
      <c r="AS21" s="91">
        <f>AS8*'8. Site Values'!AQ80</f>
        <v>0</v>
      </c>
      <c r="AT21" s="91">
        <f>AT8*'8. Site Values'!AR80</f>
        <v>0</v>
      </c>
      <c r="AU21" s="91">
        <f>AU8*'8. Site Values'!AS80</f>
        <v>0</v>
      </c>
      <c r="AV21" s="91">
        <f>AV8*'8. Site Values'!AT80</f>
        <v>0</v>
      </c>
      <c r="AW21" s="91">
        <f>AW8*'8. Site Values'!AU80</f>
        <v>0</v>
      </c>
      <c r="AX21" s="91">
        <f>AX8*'8. Site Values'!AV80</f>
        <v>0</v>
      </c>
      <c r="AY21" s="91">
        <f>AY8*'8. Site Values'!AW80</f>
        <v>0</v>
      </c>
      <c r="AZ21" s="91">
        <f>AZ8*'8. Site Values'!AX80</f>
        <v>0</v>
      </c>
      <c r="BA21" s="91">
        <f>BA8*'8. Site Values'!AY80</f>
        <v>0</v>
      </c>
      <c r="BB21" s="91">
        <f>BB8*'8. Site Values'!AZ80</f>
        <v>0</v>
      </c>
      <c r="BC21" s="591">
        <f>BC8*'8. Site Values'!BA80</f>
        <v>0</v>
      </c>
      <c r="BD21" s="91">
        <f>BD8*'8. Site Values'!BB80</f>
        <v>0</v>
      </c>
      <c r="BE21" s="91">
        <f>BE8*'8. Site Values'!BC80</f>
        <v>0</v>
      </c>
      <c r="BF21" s="91">
        <f>BF8*'8. Site Values'!BD80</f>
        <v>0</v>
      </c>
      <c r="BG21" s="91">
        <f>BG8*'8. Site Values'!BE80</f>
        <v>0</v>
      </c>
      <c r="BH21" s="91">
        <f>BH8*'8. Site Values'!BF80</f>
        <v>0</v>
      </c>
      <c r="BI21" s="91">
        <f>BI8*'8. Site Values'!BG80</f>
        <v>0</v>
      </c>
      <c r="BJ21" s="91">
        <f>BJ8*'8. Site Values'!BH80</f>
        <v>0</v>
      </c>
      <c r="BK21" s="91">
        <f>BK8*'8. Site Values'!BI80</f>
        <v>0</v>
      </c>
      <c r="BL21" s="91">
        <f>BL8*'8. Site Values'!BJ80</f>
        <v>0</v>
      </c>
      <c r="BM21" s="91">
        <f>BM8*'8. Site Values'!BK80</f>
        <v>0</v>
      </c>
      <c r="BN21" s="91">
        <f>BN8*'8. Site Values'!BL80</f>
        <v>0</v>
      </c>
      <c r="BO21" s="91">
        <f>BO8*'8. Site Values'!BM80</f>
        <v>0</v>
      </c>
      <c r="BP21" s="91">
        <f>BP8*'8. Site Values'!BN80</f>
        <v>0</v>
      </c>
      <c r="BQ21" s="91">
        <f>BQ8*'8. Site Values'!BO80</f>
        <v>0</v>
      </c>
      <c r="BR21" s="91">
        <f>BR8*'8. Site Values'!BP80</f>
        <v>0</v>
      </c>
      <c r="BS21" s="91">
        <f>BS8*'8. Site Values'!BQ80</f>
        <v>0</v>
      </c>
      <c r="BT21" s="91">
        <f>BT8*'8. Site Values'!BR80</f>
        <v>0</v>
      </c>
      <c r="BU21" s="91">
        <f>BU8*'8. Site Values'!BS80</f>
        <v>0</v>
      </c>
      <c r="BV21" s="91">
        <f>BV8*'8. Site Values'!BT80</f>
        <v>0</v>
      </c>
      <c r="BW21" s="91">
        <f>BW8*'8. Site Values'!BU80</f>
        <v>0</v>
      </c>
      <c r="BX21" s="91">
        <f>BX8*'8. Site Values'!BV80</f>
        <v>0</v>
      </c>
      <c r="BY21" s="91">
        <f>BY8*'8. Site Values'!BW80</f>
        <v>0</v>
      </c>
      <c r="BZ21" s="91">
        <f>BZ8*'8. Site Values'!BX80</f>
        <v>0</v>
      </c>
      <c r="CA21" s="91">
        <f>CA8*'8. Site Values'!BY80</f>
        <v>0</v>
      </c>
      <c r="CB21" s="91">
        <f>CB8*'8. Site Values'!BZ80</f>
        <v>0</v>
      </c>
      <c r="CC21" s="91">
        <f>CC8*'8. Site Values'!CA80</f>
        <v>0</v>
      </c>
      <c r="CD21" s="91">
        <f>CD8*'8. Site Values'!CB80</f>
        <v>0</v>
      </c>
      <c r="CE21" s="91">
        <f>CE8*'8. Site Values'!CC80</f>
        <v>0</v>
      </c>
      <c r="CF21" s="91">
        <f>CF8*'8. Site Values'!CD80</f>
        <v>0</v>
      </c>
      <c r="CG21" s="91">
        <f>CG8*'8. Site Values'!CE80</f>
        <v>0</v>
      </c>
      <c r="CH21" s="91">
        <f>CH8*'8. Site Values'!CF80</f>
        <v>0</v>
      </c>
      <c r="CI21" s="91">
        <f>CI8*'8. Site Values'!CG80</f>
        <v>0</v>
      </c>
      <c r="CJ21" s="91">
        <f>CJ8*'8. Site Values'!CH80</f>
        <v>0</v>
      </c>
      <c r="CK21" s="91">
        <f>CK8*'8. Site Values'!CI80</f>
        <v>0</v>
      </c>
    </row>
    <row r="22" spans="2:89" s="2" customFormat="1" ht="15" customHeight="1">
      <c r="B22" s="116" t="s">
        <v>174</v>
      </c>
      <c r="C22" s="117"/>
      <c r="D22" s="528">
        <f t="shared" si="3"/>
        <v>0</v>
      </c>
      <c r="E22" s="100"/>
      <c r="F22" s="91">
        <f>F9*'8. Site Values'!D81</f>
        <v>0</v>
      </c>
      <c r="G22" s="91">
        <f>G9*'8. Site Values'!E81</f>
        <v>0</v>
      </c>
      <c r="H22" s="91">
        <f>H9*'8. Site Values'!F81</f>
        <v>0</v>
      </c>
      <c r="I22" s="91">
        <f>I9*'8. Site Values'!G81</f>
        <v>0</v>
      </c>
      <c r="J22" s="91">
        <f>J9*'8. Site Values'!H81</f>
        <v>0</v>
      </c>
      <c r="K22" s="91">
        <f>K9*'8. Site Values'!I81</f>
        <v>0</v>
      </c>
      <c r="L22" s="91">
        <f>L9*'8. Site Values'!J81</f>
        <v>0</v>
      </c>
      <c r="M22" s="91">
        <f>M9*'8. Site Values'!K81</f>
        <v>0</v>
      </c>
      <c r="N22" s="91">
        <f>N9*'8. Site Values'!L81</f>
        <v>0</v>
      </c>
      <c r="O22" s="91">
        <f>O9*'8. Site Values'!M81</f>
        <v>0</v>
      </c>
      <c r="P22" s="91">
        <f>P9*'8. Site Values'!N81</f>
        <v>0</v>
      </c>
      <c r="Q22" s="91">
        <f>Q9*'8. Site Values'!O81</f>
        <v>0</v>
      </c>
      <c r="R22" s="91">
        <f>R9*'8. Site Values'!P81</f>
        <v>0</v>
      </c>
      <c r="S22" s="91">
        <f>S9*'8. Site Values'!Q81</f>
        <v>0</v>
      </c>
      <c r="T22" s="91">
        <f>T9*'8. Site Values'!R81</f>
        <v>0</v>
      </c>
      <c r="U22" s="91">
        <f>U9*'8. Site Values'!S81</f>
        <v>0</v>
      </c>
      <c r="V22" s="91">
        <f>V9*'8. Site Values'!T81</f>
        <v>0</v>
      </c>
      <c r="W22" s="91">
        <f>W9*'8. Site Values'!U81</f>
        <v>0</v>
      </c>
      <c r="X22" s="91">
        <f>X9*'8. Site Values'!V81</f>
        <v>0</v>
      </c>
      <c r="Y22" s="91">
        <f>Y9*'8. Site Values'!W81</f>
        <v>0</v>
      </c>
      <c r="Z22" s="91">
        <f>Z9*'8. Site Values'!X81</f>
        <v>0</v>
      </c>
      <c r="AA22" s="91">
        <f>AA9*'8. Site Values'!Y81</f>
        <v>0</v>
      </c>
      <c r="AB22" s="91">
        <f>AB9*'8. Site Values'!Z81</f>
        <v>0</v>
      </c>
      <c r="AC22" s="91">
        <f>AC9*'8. Site Values'!AA81</f>
        <v>0</v>
      </c>
      <c r="AD22" s="91">
        <f>AD9*'8. Site Values'!AB81</f>
        <v>0</v>
      </c>
      <c r="AE22" s="91">
        <f>AE9*'8. Site Values'!AC81</f>
        <v>0</v>
      </c>
      <c r="AF22" s="91">
        <f>AF9*'8. Site Values'!AD81</f>
        <v>0</v>
      </c>
      <c r="AG22" s="91">
        <f>AG9*'8. Site Values'!AE81</f>
        <v>0</v>
      </c>
      <c r="AH22" s="91">
        <f>AH9*'8. Site Values'!AF81</f>
        <v>0</v>
      </c>
      <c r="AI22" s="91">
        <f>AI9*'8. Site Values'!AG81</f>
        <v>0</v>
      </c>
      <c r="AJ22" s="91">
        <f>AJ9*'8. Site Values'!AH81</f>
        <v>0</v>
      </c>
      <c r="AK22" s="91">
        <f>AK9*'8. Site Values'!AI81</f>
        <v>0</v>
      </c>
      <c r="AL22" s="91">
        <f>AL9*'8. Site Values'!AJ81</f>
        <v>0</v>
      </c>
      <c r="AM22" s="91">
        <f>AM9*'8. Site Values'!AK81</f>
        <v>0</v>
      </c>
      <c r="AN22" s="91">
        <f>AN9*'8. Site Values'!AL81</f>
        <v>0</v>
      </c>
      <c r="AO22" s="91">
        <f>AO9*'8. Site Values'!AM81</f>
        <v>0</v>
      </c>
      <c r="AP22" s="91">
        <f>AP9*'8. Site Values'!AN81</f>
        <v>0</v>
      </c>
      <c r="AQ22" s="91">
        <f>AQ9*'8. Site Values'!AO81</f>
        <v>0</v>
      </c>
      <c r="AR22" s="91">
        <f>AR9*'8. Site Values'!AP81</f>
        <v>0</v>
      </c>
      <c r="AS22" s="91">
        <f>AS9*'8. Site Values'!AQ81</f>
        <v>0</v>
      </c>
      <c r="AT22" s="91">
        <f>AT9*'8. Site Values'!AR81</f>
        <v>0</v>
      </c>
      <c r="AU22" s="91">
        <f>AU9*'8. Site Values'!AS81</f>
        <v>0</v>
      </c>
      <c r="AV22" s="91">
        <f>AV9*'8. Site Values'!AT81</f>
        <v>0</v>
      </c>
      <c r="AW22" s="91">
        <f>AW9*'8. Site Values'!AU81</f>
        <v>0</v>
      </c>
      <c r="AX22" s="91">
        <f>AX9*'8. Site Values'!AV81</f>
        <v>0</v>
      </c>
      <c r="AY22" s="91">
        <f>AY9*'8. Site Values'!AW81</f>
        <v>0</v>
      </c>
      <c r="AZ22" s="91">
        <f>AZ9*'8. Site Values'!AX81</f>
        <v>0</v>
      </c>
      <c r="BA22" s="91">
        <f>BA9*'8. Site Values'!AY81</f>
        <v>0</v>
      </c>
      <c r="BB22" s="91">
        <f>BB9*'8. Site Values'!AZ81</f>
        <v>0</v>
      </c>
      <c r="BC22" s="591">
        <f>BC9*'8. Site Values'!BA81</f>
        <v>0</v>
      </c>
      <c r="BD22" s="91">
        <f>BD9*'8. Site Values'!BB81</f>
        <v>0</v>
      </c>
      <c r="BE22" s="91">
        <f>BE9*'8. Site Values'!BC81</f>
        <v>0</v>
      </c>
      <c r="BF22" s="91">
        <f>BF9*'8. Site Values'!BD81</f>
        <v>0</v>
      </c>
      <c r="BG22" s="91">
        <f>BG9*'8. Site Values'!BE81</f>
        <v>0</v>
      </c>
      <c r="BH22" s="91">
        <f>BH9*'8. Site Values'!BF81</f>
        <v>0</v>
      </c>
      <c r="BI22" s="91">
        <f>BI9*'8. Site Values'!BG81</f>
        <v>0</v>
      </c>
      <c r="BJ22" s="91">
        <f>BJ9*'8. Site Values'!BH81</f>
        <v>0</v>
      </c>
      <c r="BK22" s="91">
        <f>BK9*'8. Site Values'!BI81</f>
        <v>0</v>
      </c>
      <c r="BL22" s="91">
        <f>BL9*'8. Site Values'!BJ81</f>
        <v>0</v>
      </c>
      <c r="BM22" s="91">
        <f>BM9*'8. Site Values'!BK81</f>
        <v>0</v>
      </c>
      <c r="BN22" s="91">
        <f>BN9*'8. Site Values'!BL81</f>
        <v>0</v>
      </c>
      <c r="BO22" s="91">
        <f>BO9*'8. Site Values'!BM81</f>
        <v>0</v>
      </c>
      <c r="BP22" s="91">
        <f>BP9*'8. Site Values'!BN81</f>
        <v>0</v>
      </c>
      <c r="BQ22" s="91">
        <f>BQ9*'8. Site Values'!BO81</f>
        <v>0</v>
      </c>
      <c r="BR22" s="91">
        <f>BR9*'8. Site Values'!BP81</f>
        <v>0</v>
      </c>
      <c r="BS22" s="91">
        <f>BS9*'8. Site Values'!BQ81</f>
        <v>0</v>
      </c>
      <c r="BT22" s="91">
        <f>BT9*'8. Site Values'!BR81</f>
        <v>0</v>
      </c>
      <c r="BU22" s="91">
        <f>BU9*'8. Site Values'!BS81</f>
        <v>0</v>
      </c>
      <c r="BV22" s="91">
        <f>BV9*'8. Site Values'!BT81</f>
        <v>0</v>
      </c>
      <c r="BW22" s="91">
        <f>BW9*'8. Site Values'!BU81</f>
        <v>0</v>
      </c>
      <c r="BX22" s="91">
        <f>BX9*'8. Site Values'!BV81</f>
        <v>0</v>
      </c>
      <c r="BY22" s="91">
        <f>BY9*'8. Site Values'!BW81</f>
        <v>0</v>
      </c>
      <c r="BZ22" s="91">
        <f>BZ9*'8. Site Values'!BX81</f>
        <v>0</v>
      </c>
      <c r="CA22" s="91">
        <f>CA9*'8. Site Values'!BY81</f>
        <v>0</v>
      </c>
      <c r="CB22" s="91">
        <f>CB9*'8. Site Values'!BZ81</f>
        <v>0</v>
      </c>
      <c r="CC22" s="91">
        <f>CC9*'8. Site Values'!CA81</f>
        <v>0</v>
      </c>
      <c r="CD22" s="91">
        <f>CD9*'8. Site Values'!CB81</f>
        <v>0</v>
      </c>
      <c r="CE22" s="91">
        <f>CE9*'8. Site Values'!CC81</f>
        <v>0</v>
      </c>
      <c r="CF22" s="91">
        <f>CF9*'8. Site Values'!CD81</f>
        <v>0</v>
      </c>
      <c r="CG22" s="91">
        <f>CG9*'8. Site Values'!CE81</f>
        <v>0</v>
      </c>
      <c r="CH22" s="91">
        <f>CH9*'8. Site Values'!CF81</f>
        <v>0</v>
      </c>
      <c r="CI22" s="91">
        <f>CI9*'8. Site Values'!CG81</f>
        <v>0</v>
      </c>
      <c r="CJ22" s="91">
        <f>CJ9*'8. Site Values'!CH81</f>
        <v>0</v>
      </c>
      <c r="CK22" s="91">
        <f>CK9*'8. Site Values'!CI81</f>
        <v>0</v>
      </c>
    </row>
    <row r="23" spans="2:89" s="2" customFormat="1" ht="15" customHeight="1">
      <c r="B23" s="116" t="s">
        <v>175</v>
      </c>
      <c r="C23" s="117"/>
      <c r="D23" s="528">
        <f>SUM(F23:CK23)</f>
        <v>20.997830236322159</v>
      </c>
      <c r="E23" s="100"/>
      <c r="F23" s="91">
        <f>F10*'8. Site Values'!D82</f>
        <v>0</v>
      </c>
      <c r="G23" s="91">
        <f>G10*'8. Site Values'!E82</f>
        <v>6.4278875379939201E-5</v>
      </c>
      <c r="H23" s="91">
        <f>H10*'8. Site Values'!F82</f>
        <v>0</v>
      </c>
      <c r="I23" s="91">
        <f>I10*'8. Site Values'!G82</f>
        <v>0</v>
      </c>
      <c r="J23" s="91">
        <f>J10*'8. Site Values'!H82</f>
        <v>0</v>
      </c>
      <c r="K23" s="91">
        <f>K10*'8. Site Values'!I82</f>
        <v>0</v>
      </c>
      <c r="L23" s="91">
        <f>L10*'8. Site Values'!J82</f>
        <v>0</v>
      </c>
      <c r="M23" s="91">
        <f>M10*'8. Site Values'!K82</f>
        <v>0</v>
      </c>
      <c r="N23" s="91">
        <f>N10*'8. Site Values'!L82</f>
        <v>0</v>
      </c>
      <c r="O23" s="91">
        <f>O10*'8. Site Values'!M82</f>
        <v>0</v>
      </c>
      <c r="P23" s="91">
        <f>P10*'8. Site Values'!N82</f>
        <v>0</v>
      </c>
      <c r="Q23" s="91">
        <f>Q10*'8. Site Values'!O82</f>
        <v>0</v>
      </c>
      <c r="R23" s="91">
        <f>R10*'8. Site Values'!P82</f>
        <v>0</v>
      </c>
      <c r="S23" s="91">
        <f>S10*'8. Site Values'!Q82</f>
        <v>0.1499840425531915</v>
      </c>
      <c r="T23" s="91">
        <f>T10*'8. Site Values'!R82</f>
        <v>0.29996808510638301</v>
      </c>
      <c r="U23" s="91">
        <f>U10*'8. Site Values'!S82</f>
        <v>0.29996808510638301</v>
      </c>
      <c r="V23" s="91">
        <f>V10*'8. Site Values'!T82</f>
        <v>0.29996808510638301</v>
      </c>
      <c r="W23" s="91">
        <f>W10*'8. Site Values'!U82</f>
        <v>0.29996808510638301</v>
      </c>
      <c r="X23" s="91">
        <f>X10*'8. Site Values'!V82</f>
        <v>0.29996808510638301</v>
      </c>
      <c r="Y23" s="91">
        <f>Y10*'8. Site Values'!W82</f>
        <v>0.29996808510638301</v>
      </c>
      <c r="Z23" s="91">
        <f>Z10*'8. Site Values'!X82</f>
        <v>0.29996808510638301</v>
      </c>
      <c r="AA23" s="91">
        <f>AA10*'8. Site Values'!Y82</f>
        <v>0.29996808510638301</v>
      </c>
      <c r="AB23" s="91">
        <f>AB10*'8. Site Values'!Z82</f>
        <v>0.29996808510638301</v>
      </c>
      <c r="AC23" s="91">
        <f>AC10*'8. Site Values'!AA82</f>
        <v>0.29996808510638301</v>
      </c>
      <c r="AD23" s="91">
        <f>AD10*'8. Site Values'!AB82</f>
        <v>0.29996808510638301</v>
      </c>
      <c r="AE23" s="91">
        <f>AE10*'8. Site Values'!AC82</f>
        <v>0.29996808510638301</v>
      </c>
      <c r="AF23" s="91">
        <f>AF10*'8. Site Values'!AD82</f>
        <v>0.29996808510638301</v>
      </c>
      <c r="AG23" s="91">
        <f>AG10*'8. Site Values'!AE82</f>
        <v>0.29996808510638301</v>
      </c>
      <c r="AH23" s="91">
        <f>AH10*'8. Site Values'!AF82</f>
        <v>0.29996808510638301</v>
      </c>
      <c r="AI23" s="91">
        <f>AI10*'8. Site Values'!AG82</f>
        <v>0.29996808510638301</v>
      </c>
      <c r="AJ23" s="91">
        <f>AJ10*'8. Site Values'!AH82</f>
        <v>0.29996808510638301</v>
      </c>
      <c r="AK23" s="91">
        <f>AK10*'8. Site Values'!AI82</f>
        <v>0.29996808510638301</v>
      </c>
      <c r="AL23" s="91">
        <f>AL10*'8. Site Values'!AJ82</f>
        <v>0.29996808510638301</v>
      </c>
      <c r="AM23" s="91">
        <f>AM10*'8. Site Values'!AK82</f>
        <v>0.29996808510638301</v>
      </c>
      <c r="AN23" s="91">
        <f>AN10*'8. Site Values'!AL82</f>
        <v>0.29996808510638301</v>
      </c>
      <c r="AO23" s="91">
        <f>AO10*'8. Site Values'!AM82</f>
        <v>0.29996808510638301</v>
      </c>
      <c r="AP23" s="91">
        <f>AP10*'8. Site Values'!AN82</f>
        <v>0.29996808510638301</v>
      </c>
      <c r="AQ23" s="91">
        <f>AQ10*'8. Site Values'!AO82</f>
        <v>0.29996808510638301</v>
      </c>
      <c r="AR23" s="91">
        <f>AR10*'8. Site Values'!AP82</f>
        <v>0.29996808510638301</v>
      </c>
      <c r="AS23" s="91">
        <f>AS10*'8. Site Values'!AQ82</f>
        <v>0.29996808510638301</v>
      </c>
      <c r="AT23" s="91">
        <f>AT10*'8. Site Values'!AR82</f>
        <v>0.29996808510638301</v>
      </c>
      <c r="AU23" s="91">
        <f>AU10*'8. Site Values'!AS82</f>
        <v>0.29996808510638301</v>
      </c>
      <c r="AV23" s="91">
        <f>AV10*'8. Site Values'!AT82</f>
        <v>0.29996808510638301</v>
      </c>
      <c r="AW23" s="91">
        <f>AW10*'8. Site Values'!AU82</f>
        <v>0.29996808510638301</v>
      </c>
      <c r="AX23" s="91">
        <f>AX10*'8. Site Values'!AV82</f>
        <v>0.29996808510638301</v>
      </c>
      <c r="AY23" s="91">
        <f>AY10*'8. Site Values'!AW82</f>
        <v>0.29996808510638301</v>
      </c>
      <c r="AZ23" s="91">
        <f>AZ10*'8. Site Values'!AX82</f>
        <v>0.29996808510638301</v>
      </c>
      <c r="BA23" s="91">
        <f>BA10*'8. Site Values'!AY82</f>
        <v>0.29996808510638301</v>
      </c>
      <c r="BB23" s="91">
        <f>BB10*'8. Site Values'!AZ82</f>
        <v>0.29996808510638301</v>
      </c>
      <c r="BC23" s="591">
        <f>BC10*'8. Site Values'!BA82</f>
        <v>0.29996808510638301</v>
      </c>
      <c r="BD23" s="91">
        <f>BD10*'8. Site Values'!BB82</f>
        <v>0.29996808510638301</v>
      </c>
      <c r="BE23" s="91">
        <f>BE10*'8. Site Values'!BC82</f>
        <v>0.29996808510638301</v>
      </c>
      <c r="BF23" s="91">
        <f>BF10*'8. Site Values'!BD82</f>
        <v>0.29996808510638301</v>
      </c>
      <c r="BG23" s="91">
        <f>BG10*'8. Site Values'!BE82</f>
        <v>0.29996808510638301</v>
      </c>
      <c r="BH23" s="91">
        <f>BH10*'8. Site Values'!BF82</f>
        <v>0.29996808510638301</v>
      </c>
      <c r="BI23" s="91">
        <f>BI10*'8. Site Values'!BG82</f>
        <v>0.29996808510638301</v>
      </c>
      <c r="BJ23" s="91">
        <f>BJ10*'8. Site Values'!BH82</f>
        <v>0.29996808510638301</v>
      </c>
      <c r="BK23" s="91">
        <f>BK10*'8. Site Values'!BI82</f>
        <v>0.29996808510638301</v>
      </c>
      <c r="BL23" s="91">
        <f>BL10*'8. Site Values'!BJ82</f>
        <v>0.29996808510638301</v>
      </c>
      <c r="BM23" s="91">
        <f>BM10*'8. Site Values'!BK82</f>
        <v>0.29996808510638301</v>
      </c>
      <c r="BN23" s="91">
        <f>BN10*'8. Site Values'!BL82</f>
        <v>0.29996808510638301</v>
      </c>
      <c r="BO23" s="91">
        <f>BO10*'8. Site Values'!BM82</f>
        <v>0.29996808510638301</v>
      </c>
      <c r="BP23" s="91">
        <f>BP10*'8. Site Values'!BN82</f>
        <v>0.29996808510638301</v>
      </c>
      <c r="BQ23" s="91">
        <f>BQ10*'8. Site Values'!BO82</f>
        <v>0.29996808510638301</v>
      </c>
      <c r="BR23" s="91">
        <f>BR10*'8. Site Values'!BP82</f>
        <v>0.29996808510638301</v>
      </c>
      <c r="BS23" s="91">
        <f>BS10*'8. Site Values'!BQ82</f>
        <v>0.29996808510638301</v>
      </c>
      <c r="BT23" s="91">
        <f>BT10*'8. Site Values'!BR82</f>
        <v>0.29996808510638301</v>
      </c>
      <c r="BU23" s="91">
        <f>BU10*'8. Site Values'!BS82</f>
        <v>0.29996808510638301</v>
      </c>
      <c r="BV23" s="91">
        <f>BV10*'8. Site Values'!BT82</f>
        <v>0.29996808510638301</v>
      </c>
      <c r="BW23" s="91">
        <f>BW10*'8. Site Values'!BU82</f>
        <v>0.29996808510638301</v>
      </c>
      <c r="BX23" s="91">
        <f>BX10*'8. Site Values'!BV82</f>
        <v>0.29996808510638301</v>
      </c>
      <c r="BY23" s="91">
        <f>BY10*'8. Site Values'!BW82</f>
        <v>0.29996808510638301</v>
      </c>
      <c r="BZ23" s="91">
        <f>BZ10*'8. Site Values'!BX82</f>
        <v>0.29996808510638301</v>
      </c>
      <c r="CA23" s="91">
        <f>CA10*'8. Site Values'!BY82</f>
        <v>0.29996808510638301</v>
      </c>
      <c r="CB23" s="91">
        <f>CB10*'8. Site Values'!BZ82</f>
        <v>0.29996808510638301</v>
      </c>
      <c r="CC23" s="91">
        <f>CC10*'8. Site Values'!CA82</f>
        <v>0.29996808510638301</v>
      </c>
      <c r="CD23" s="91">
        <f>CD10*'8. Site Values'!CB82</f>
        <v>0.29996808510638301</v>
      </c>
      <c r="CE23" s="91">
        <f>CE10*'8. Site Values'!CC82</f>
        <v>0.29996808510638301</v>
      </c>
      <c r="CF23" s="91">
        <f>CF10*'8. Site Values'!CD82</f>
        <v>0.29996808510638301</v>
      </c>
      <c r="CG23" s="91">
        <f>CG10*'8. Site Values'!CE82</f>
        <v>0.29996808510638301</v>
      </c>
      <c r="CH23" s="91">
        <f>CH10*'8. Site Values'!CF82</f>
        <v>0.29996808510638301</v>
      </c>
      <c r="CI23" s="91">
        <f>CI10*'8. Site Values'!CG82</f>
        <v>0.29996808510638301</v>
      </c>
      <c r="CJ23" s="91">
        <f>CJ10*'8. Site Values'!CH82</f>
        <v>0.29996808510638301</v>
      </c>
      <c r="CK23" s="91">
        <f>CK10*'8. Site Values'!CI82</f>
        <v>0.1499840425531915</v>
      </c>
    </row>
    <row r="24" spans="2:89" s="2" customFormat="1" ht="15" customHeight="1">
      <c r="B24" s="116" t="s">
        <v>176</v>
      </c>
      <c r="C24" s="117"/>
      <c r="D24" s="528">
        <f>SUM(F24:CK24)</f>
        <v>194.97985219442049</v>
      </c>
      <c r="E24" s="100"/>
      <c r="F24" s="91">
        <f>F11*'8. Site Values'!D83</f>
        <v>0</v>
      </c>
      <c r="G24" s="91">
        <f>G11*'8. Site Values'!E83</f>
        <v>5.9687527138514967E-4</v>
      </c>
      <c r="H24" s="91">
        <f>H11*'8. Site Values'!F83</f>
        <v>0</v>
      </c>
      <c r="I24" s="91">
        <f>I11*'8. Site Values'!G83</f>
        <v>0</v>
      </c>
      <c r="J24" s="91">
        <f>J11*'8. Site Values'!H83</f>
        <v>0</v>
      </c>
      <c r="K24" s="91">
        <f>K11*'8. Site Values'!I83</f>
        <v>0</v>
      </c>
      <c r="L24" s="91">
        <f>L11*'8. Site Values'!J83</f>
        <v>0</v>
      </c>
      <c r="M24" s="91">
        <f>M11*'8. Site Values'!K83</f>
        <v>0</v>
      </c>
      <c r="N24" s="91">
        <f>N11*'8. Site Values'!L83</f>
        <v>0</v>
      </c>
      <c r="O24" s="91">
        <f>O11*'8. Site Values'!M83</f>
        <v>0</v>
      </c>
      <c r="P24" s="91">
        <f>P11*'8. Site Values'!N83</f>
        <v>0</v>
      </c>
      <c r="Q24" s="91">
        <f>Q11*'8. Site Values'!O83</f>
        <v>0</v>
      </c>
      <c r="R24" s="91">
        <f>R11*'8. Site Values'!P83</f>
        <v>0</v>
      </c>
      <c r="S24" s="91">
        <f>S11*'8. Site Values'!Q83</f>
        <v>1.3927089665653496</v>
      </c>
      <c r="T24" s="91">
        <f>T11*'8. Site Values'!R83</f>
        <v>2.7854179331306992</v>
      </c>
      <c r="U24" s="91">
        <f>U11*'8. Site Values'!S83</f>
        <v>2.7854179331306992</v>
      </c>
      <c r="V24" s="91">
        <f>V11*'8. Site Values'!T83</f>
        <v>2.7854179331306992</v>
      </c>
      <c r="W24" s="91">
        <f>W11*'8. Site Values'!U83</f>
        <v>2.7854179331306992</v>
      </c>
      <c r="X24" s="91">
        <f>X11*'8. Site Values'!V83</f>
        <v>2.7854179331306992</v>
      </c>
      <c r="Y24" s="91">
        <f>Y11*'8. Site Values'!W83</f>
        <v>2.7854179331306992</v>
      </c>
      <c r="Z24" s="91">
        <f>Z11*'8. Site Values'!X83</f>
        <v>2.7854179331306992</v>
      </c>
      <c r="AA24" s="91">
        <f>AA11*'8. Site Values'!Y83</f>
        <v>2.7854179331306992</v>
      </c>
      <c r="AB24" s="91">
        <f>AB11*'8. Site Values'!Z83</f>
        <v>2.7854179331306992</v>
      </c>
      <c r="AC24" s="91">
        <f>AC11*'8. Site Values'!AA83</f>
        <v>2.7854179331306992</v>
      </c>
      <c r="AD24" s="91">
        <f>AD11*'8. Site Values'!AB83</f>
        <v>2.7854179331306992</v>
      </c>
      <c r="AE24" s="91">
        <f>AE11*'8. Site Values'!AC83</f>
        <v>2.7854179331306992</v>
      </c>
      <c r="AF24" s="91">
        <f>AF11*'8. Site Values'!AD83</f>
        <v>2.7854179331306992</v>
      </c>
      <c r="AG24" s="91">
        <f>AG11*'8. Site Values'!AE83</f>
        <v>2.7854179331306992</v>
      </c>
      <c r="AH24" s="91">
        <f>AH11*'8. Site Values'!AF83</f>
        <v>2.7854179331306992</v>
      </c>
      <c r="AI24" s="91">
        <f>AI11*'8. Site Values'!AG83</f>
        <v>2.7854179331306992</v>
      </c>
      <c r="AJ24" s="91">
        <f>AJ11*'8. Site Values'!AH83</f>
        <v>2.7854179331306992</v>
      </c>
      <c r="AK24" s="91">
        <f>AK11*'8. Site Values'!AI83</f>
        <v>2.7854179331306992</v>
      </c>
      <c r="AL24" s="91">
        <f>AL11*'8. Site Values'!AJ83</f>
        <v>2.7854179331306992</v>
      </c>
      <c r="AM24" s="91">
        <f>AM11*'8. Site Values'!AK83</f>
        <v>2.7854179331306992</v>
      </c>
      <c r="AN24" s="91">
        <f>AN11*'8. Site Values'!AL83</f>
        <v>2.7854179331306992</v>
      </c>
      <c r="AO24" s="91">
        <f>AO11*'8. Site Values'!AM83</f>
        <v>2.7854179331306992</v>
      </c>
      <c r="AP24" s="91">
        <f>AP11*'8. Site Values'!AN83</f>
        <v>2.7854179331306992</v>
      </c>
      <c r="AQ24" s="91">
        <f>AQ11*'8. Site Values'!AO83</f>
        <v>2.7854179331306992</v>
      </c>
      <c r="AR24" s="91">
        <f>AR11*'8. Site Values'!AP83</f>
        <v>2.7854179331306992</v>
      </c>
      <c r="AS24" s="91">
        <f>AS11*'8. Site Values'!AQ83</f>
        <v>2.7854179331306992</v>
      </c>
      <c r="AT24" s="91">
        <f>AT11*'8. Site Values'!AR83</f>
        <v>2.7854179331306992</v>
      </c>
      <c r="AU24" s="91">
        <f>AU11*'8. Site Values'!AS83</f>
        <v>2.7854179331306992</v>
      </c>
      <c r="AV24" s="91">
        <f>AV11*'8. Site Values'!AT83</f>
        <v>2.7854179331306992</v>
      </c>
      <c r="AW24" s="91">
        <f>AW11*'8. Site Values'!AU83</f>
        <v>2.7854179331306992</v>
      </c>
      <c r="AX24" s="91">
        <f>AX11*'8. Site Values'!AV83</f>
        <v>2.7854179331306992</v>
      </c>
      <c r="AY24" s="91">
        <f>AY11*'8. Site Values'!AW83</f>
        <v>2.7854179331306992</v>
      </c>
      <c r="AZ24" s="91">
        <f>AZ11*'8. Site Values'!AX83</f>
        <v>2.7854179331306992</v>
      </c>
      <c r="BA24" s="91">
        <f>BA11*'8. Site Values'!AY83</f>
        <v>2.7854179331306992</v>
      </c>
      <c r="BB24" s="91">
        <f>BB11*'8. Site Values'!AZ83</f>
        <v>2.7854179331306992</v>
      </c>
      <c r="BC24" s="591">
        <f>BC11*'8. Site Values'!BA83</f>
        <v>2.7854179331306992</v>
      </c>
      <c r="BD24" s="91">
        <f>BD11*'8. Site Values'!BB83</f>
        <v>2.7854179331306992</v>
      </c>
      <c r="BE24" s="91">
        <f>BE11*'8. Site Values'!BC83</f>
        <v>2.7854179331306992</v>
      </c>
      <c r="BF24" s="91">
        <f>BF11*'8. Site Values'!BD83</f>
        <v>2.7854179331306992</v>
      </c>
      <c r="BG24" s="91">
        <f>BG11*'8. Site Values'!BE83</f>
        <v>2.7854179331306992</v>
      </c>
      <c r="BH24" s="91">
        <f>BH11*'8. Site Values'!BF83</f>
        <v>2.7854179331306992</v>
      </c>
      <c r="BI24" s="91">
        <f>BI11*'8. Site Values'!BG83</f>
        <v>2.7854179331306992</v>
      </c>
      <c r="BJ24" s="91">
        <f>BJ11*'8. Site Values'!BH83</f>
        <v>2.7854179331306992</v>
      </c>
      <c r="BK24" s="91">
        <f>BK11*'8. Site Values'!BI83</f>
        <v>2.7854179331306992</v>
      </c>
      <c r="BL24" s="91">
        <f>BL11*'8. Site Values'!BJ83</f>
        <v>2.7854179331306992</v>
      </c>
      <c r="BM24" s="91">
        <f>BM11*'8. Site Values'!BK83</f>
        <v>2.7854179331306992</v>
      </c>
      <c r="BN24" s="91">
        <f>BN11*'8. Site Values'!BL83</f>
        <v>2.7854179331306992</v>
      </c>
      <c r="BO24" s="91">
        <f>BO11*'8. Site Values'!BM83</f>
        <v>2.7854179331306992</v>
      </c>
      <c r="BP24" s="91">
        <f>BP11*'8. Site Values'!BN83</f>
        <v>2.7854179331306992</v>
      </c>
      <c r="BQ24" s="91">
        <f>BQ11*'8. Site Values'!BO83</f>
        <v>2.7854179331306992</v>
      </c>
      <c r="BR24" s="91">
        <f>BR11*'8. Site Values'!BP83</f>
        <v>2.7854179331306992</v>
      </c>
      <c r="BS24" s="91">
        <f>BS11*'8. Site Values'!BQ83</f>
        <v>2.7854179331306992</v>
      </c>
      <c r="BT24" s="91">
        <f>BT11*'8. Site Values'!BR83</f>
        <v>2.7854179331306992</v>
      </c>
      <c r="BU24" s="91">
        <f>BU11*'8. Site Values'!BS83</f>
        <v>2.7854179331306992</v>
      </c>
      <c r="BV24" s="91">
        <f>BV11*'8. Site Values'!BT83</f>
        <v>2.7854179331306992</v>
      </c>
      <c r="BW24" s="91">
        <f>BW11*'8. Site Values'!BU83</f>
        <v>2.7854179331306992</v>
      </c>
      <c r="BX24" s="91">
        <f>BX11*'8. Site Values'!BV83</f>
        <v>2.7854179331306992</v>
      </c>
      <c r="BY24" s="91">
        <f>BY11*'8. Site Values'!BW83</f>
        <v>2.7854179331306992</v>
      </c>
      <c r="BZ24" s="91">
        <f>BZ11*'8. Site Values'!BX83</f>
        <v>2.7854179331306992</v>
      </c>
      <c r="CA24" s="91">
        <f>CA11*'8. Site Values'!BY83</f>
        <v>2.7854179331306992</v>
      </c>
      <c r="CB24" s="91">
        <f>CB11*'8. Site Values'!BZ83</f>
        <v>2.7854179331306992</v>
      </c>
      <c r="CC24" s="91">
        <f>CC11*'8. Site Values'!CA83</f>
        <v>2.7854179331306992</v>
      </c>
      <c r="CD24" s="91">
        <f>CD11*'8. Site Values'!CB83</f>
        <v>2.7854179331306992</v>
      </c>
      <c r="CE24" s="91">
        <f>CE11*'8. Site Values'!CC83</f>
        <v>2.7854179331306992</v>
      </c>
      <c r="CF24" s="91">
        <f>CF11*'8. Site Values'!CD83</f>
        <v>2.7854179331306992</v>
      </c>
      <c r="CG24" s="91">
        <f>CG11*'8. Site Values'!CE83</f>
        <v>2.7854179331306992</v>
      </c>
      <c r="CH24" s="91">
        <f>CH11*'8. Site Values'!CF83</f>
        <v>2.7854179331306992</v>
      </c>
      <c r="CI24" s="91">
        <f>CI11*'8. Site Values'!CG83</f>
        <v>2.7854179331306992</v>
      </c>
      <c r="CJ24" s="91">
        <f>CJ11*'8. Site Values'!CH83</f>
        <v>2.7854179331306992</v>
      </c>
      <c r="CK24" s="91">
        <f>CK11*'8. Site Values'!CI83</f>
        <v>1.3927089665653496</v>
      </c>
    </row>
    <row r="25" spans="2:89" s="2" customFormat="1" ht="15" customHeight="1">
      <c r="B25" s="124" t="s">
        <v>177</v>
      </c>
      <c r="C25" s="119"/>
      <c r="D25" s="528">
        <f t="shared" si="3"/>
        <v>0</v>
      </c>
      <c r="E25" s="100"/>
      <c r="F25" s="91">
        <f>F12*'8. Site Values'!D84</f>
        <v>0</v>
      </c>
      <c r="G25" s="91">
        <f>G12*'8. Site Values'!E84</f>
        <v>0</v>
      </c>
      <c r="H25" s="91">
        <f>H12*'8. Site Values'!F84</f>
        <v>0</v>
      </c>
      <c r="I25" s="91">
        <f>I12*'8. Site Values'!G84</f>
        <v>0</v>
      </c>
      <c r="J25" s="91">
        <f>J12*'8. Site Values'!H84</f>
        <v>0</v>
      </c>
      <c r="K25" s="91">
        <f>K12*'8. Site Values'!I84</f>
        <v>0</v>
      </c>
      <c r="L25" s="91">
        <f>L12*'8. Site Values'!J84</f>
        <v>0</v>
      </c>
      <c r="M25" s="91">
        <f>M12*'8. Site Values'!K84</f>
        <v>0</v>
      </c>
      <c r="N25" s="91">
        <f>N12*'8. Site Values'!L84</f>
        <v>0</v>
      </c>
      <c r="O25" s="91">
        <f>O12*'8. Site Values'!M84</f>
        <v>0</v>
      </c>
      <c r="P25" s="91">
        <f>P12*'8. Site Values'!N84</f>
        <v>0</v>
      </c>
      <c r="Q25" s="91">
        <f>Q12*'8. Site Values'!O84</f>
        <v>0</v>
      </c>
      <c r="R25" s="91">
        <f>R12*'8. Site Values'!P84</f>
        <v>0</v>
      </c>
      <c r="S25" s="91">
        <f>S12*'8. Site Values'!Q84</f>
        <v>0</v>
      </c>
      <c r="T25" s="91">
        <f>T12*'8. Site Values'!R84</f>
        <v>0</v>
      </c>
      <c r="U25" s="91">
        <f>U12*'8. Site Values'!S84</f>
        <v>0</v>
      </c>
      <c r="V25" s="91">
        <f>V12*'8. Site Values'!T84</f>
        <v>0</v>
      </c>
      <c r="W25" s="91">
        <f>W12*'8. Site Values'!U84</f>
        <v>0</v>
      </c>
      <c r="X25" s="91">
        <f>X12*'8. Site Values'!V84</f>
        <v>0</v>
      </c>
      <c r="Y25" s="91">
        <f>Y12*'8. Site Values'!W84</f>
        <v>0</v>
      </c>
      <c r="Z25" s="91">
        <f>Z12*'8. Site Values'!X84</f>
        <v>0</v>
      </c>
      <c r="AA25" s="91">
        <f>AA12*'8. Site Values'!Y84</f>
        <v>0</v>
      </c>
      <c r="AB25" s="91">
        <f>AB12*'8. Site Values'!Z84</f>
        <v>0</v>
      </c>
      <c r="AC25" s="91">
        <f>AC12*'8. Site Values'!AA84</f>
        <v>0</v>
      </c>
      <c r="AD25" s="91">
        <f>AD12*'8. Site Values'!AB84</f>
        <v>0</v>
      </c>
      <c r="AE25" s="91">
        <f>AE12*'8. Site Values'!AC84</f>
        <v>0</v>
      </c>
      <c r="AF25" s="91">
        <f>AF12*'8. Site Values'!AD84</f>
        <v>0</v>
      </c>
      <c r="AG25" s="91">
        <f>AG12*'8. Site Values'!AE84</f>
        <v>0</v>
      </c>
      <c r="AH25" s="91">
        <f>AH12*'8. Site Values'!AF84</f>
        <v>0</v>
      </c>
      <c r="AI25" s="91">
        <f>AI12*'8. Site Values'!AG84</f>
        <v>0</v>
      </c>
      <c r="AJ25" s="91">
        <f>AJ12*'8. Site Values'!AH84</f>
        <v>0</v>
      </c>
      <c r="AK25" s="91">
        <f>AK12*'8. Site Values'!AI84</f>
        <v>0</v>
      </c>
      <c r="AL25" s="91">
        <f>AL12*'8. Site Values'!AJ84</f>
        <v>0</v>
      </c>
      <c r="AM25" s="91">
        <f>AM12*'8. Site Values'!AK84</f>
        <v>0</v>
      </c>
      <c r="AN25" s="91">
        <f>AN12*'8. Site Values'!AL84</f>
        <v>0</v>
      </c>
      <c r="AO25" s="91">
        <f>AO12*'8. Site Values'!AM84</f>
        <v>0</v>
      </c>
      <c r="AP25" s="91">
        <f>AP12*'8. Site Values'!AN84</f>
        <v>0</v>
      </c>
      <c r="AQ25" s="91">
        <f>AQ12*'8. Site Values'!AO84</f>
        <v>0</v>
      </c>
      <c r="AR25" s="91">
        <f>AR12*'8. Site Values'!AP84</f>
        <v>0</v>
      </c>
      <c r="AS25" s="91">
        <f>AS12*'8. Site Values'!AQ84</f>
        <v>0</v>
      </c>
      <c r="AT25" s="91">
        <f>AT12*'8. Site Values'!AR84</f>
        <v>0</v>
      </c>
      <c r="AU25" s="91">
        <f>AU12*'8. Site Values'!AS84</f>
        <v>0</v>
      </c>
      <c r="AV25" s="91">
        <f>AV12*'8. Site Values'!AT84</f>
        <v>0</v>
      </c>
      <c r="AW25" s="91">
        <f>AW12*'8. Site Values'!AU84</f>
        <v>0</v>
      </c>
      <c r="AX25" s="91">
        <f>AX12*'8. Site Values'!AV84</f>
        <v>0</v>
      </c>
      <c r="AY25" s="91">
        <f>AY12*'8. Site Values'!AW84</f>
        <v>0</v>
      </c>
      <c r="AZ25" s="91">
        <f>AZ12*'8. Site Values'!AX84</f>
        <v>0</v>
      </c>
      <c r="BA25" s="91">
        <f>BA12*'8. Site Values'!AY84</f>
        <v>0</v>
      </c>
      <c r="BB25" s="91">
        <f>BB12*'8. Site Values'!AZ84</f>
        <v>0</v>
      </c>
      <c r="BC25" s="591">
        <f>BC12*'8. Site Values'!BA84</f>
        <v>0</v>
      </c>
      <c r="BD25" s="91">
        <f>BD12*'8. Site Values'!BB84</f>
        <v>0</v>
      </c>
      <c r="BE25" s="91">
        <f>BE12*'8. Site Values'!BC84</f>
        <v>0</v>
      </c>
      <c r="BF25" s="91">
        <f>BF12*'8. Site Values'!BD84</f>
        <v>0</v>
      </c>
      <c r="BG25" s="91">
        <f>BG12*'8. Site Values'!BE84</f>
        <v>0</v>
      </c>
      <c r="BH25" s="91">
        <f>BH12*'8. Site Values'!BF84</f>
        <v>0</v>
      </c>
      <c r="BI25" s="91">
        <f>BI12*'8. Site Values'!BG84</f>
        <v>0</v>
      </c>
      <c r="BJ25" s="91">
        <f>BJ12*'8. Site Values'!BH84</f>
        <v>0</v>
      </c>
      <c r="BK25" s="91">
        <f>BK12*'8. Site Values'!BI84</f>
        <v>0</v>
      </c>
      <c r="BL25" s="91">
        <f>BL12*'8. Site Values'!BJ84</f>
        <v>0</v>
      </c>
      <c r="BM25" s="91">
        <f>BM12*'8. Site Values'!BK84</f>
        <v>0</v>
      </c>
      <c r="BN25" s="91">
        <f>BN12*'8. Site Values'!BL84</f>
        <v>0</v>
      </c>
      <c r="BO25" s="91">
        <f>BO12*'8. Site Values'!BM84</f>
        <v>0</v>
      </c>
      <c r="BP25" s="91">
        <f>BP12*'8. Site Values'!BN84</f>
        <v>0</v>
      </c>
      <c r="BQ25" s="91">
        <f>BQ12*'8. Site Values'!BO84</f>
        <v>0</v>
      </c>
      <c r="BR25" s="91">
        <f>BR12*'8. Site Values'!BP84</f>
        <v>0</v>
      </c>
      <c r="BS25" s="91">
        <f>BS12*'8. Site Values'!BQ84</f>
        <v>0</v>
      </c>
      <c r="BT25" s="91">
        <f>BT12*'8. Site Values'!BR84</f>
        <v>0</v>
      </c>
      <c r="BU25" s="91">
        <f>BU12*'8. Site Values'!BS84</f>
        <v>0</v>
      </c>
      <c r="BV25" s="91">
        <f>BV12*'8. Site Values'!BT84</f>
        <v>0</v>
      </c>
      <c r="BW25" s="91">
        <f>BW12*'8. Site Values'!BU84</f>
        <v>0</v>
      </c>
      <c r="BX25" s="91">
        <f>BX12*'8. Site Values'!BV84</f>
        <v>0</v>
      </c>
      <c r="BY25" s="91">
        <f>BY12*'8. Site Values'!BW84</f>
        <v>0</v>
      </c>
      <c r="BZ25" s="91">
        <f>BZ12*'8. Site Values'!BX84</f>
        <v>0</v>
      </c>
      <c r="CA25" s="91">
        <f>CA12*'8. Site Values'!BY84</f>
        <v>0</v>
      </c>
      <c r="CB25" s="91">
        <f>CB12*'8. Site Values'!BZ84</f>
        <v>0</v>
      </c>
      <c r="CC25" s="91">
        <f>CC12*'8. Site Values'!CA84</f>
        <v>0</v>
      </c>
      <c r="CD25" s="91">
        <f>CD12*'8. Site Values'!CB84</f>
        <v>0</v>
      </c>
      <c r="CE25" s="91">
        <f>CE12*'8. Site Values'!CC84</f>
        <v>0</v>
      </c>
      <c r="CF25" s="91">
        <f>CF12*'8. Site Values'!CD84</f>
        <v>0</v>
      </c>
      <c r="CG25" s="91">
        <f>CG12*'8. Site Values'!CE84</f>
        <v>0</v>
      </c>
      <c r="CH25" s="91">
        <f>CH12*'8. Site Values'!CF84</f>
        <v>0</v>
      </c>
      <c r="CI25" s="91">
        <f>CI12*'8. Site Values'!CG84</f>
        <v>0</v>
      </c>
      <c r="CJ25" s="91">
        <f>CJ12*'8. Site Values'!CH84</f>
        <v>0</v>
      </c>
      <c r="CK25" s="91">
        <f>CK12*'8. Site Values'!CI84</f>
        <v>0</v>
      </c>
    </row>
    <row r="26" spans="2:89" s="2" customFormat="1" ht="15" customHeight="1">
      <c r="B26" s="114" t="s">
        <v>50</v>
      </c>
      <c r="C26" s="118"/>
      <c r="D26" s="528">
        <f t="shared" si="3"/>
        <v>0</v>
      </c>
      <c r="E26" s="100"/>
      <c r="F26" s="91">
        <f>F13*'8. Site Values'!D85</f>
        <v>0</v>
      </c>
      <c r="G26" s="91">
        <f>G13*'8. Site Values'!E85</f>
        <v>0</v>
      </c>
      <c r="H26" s="91">
        <f>H13*'8. Site Values'!F85</f>
        <v>0</v>
      </c>
      <c r="I26" s="91">
        <f>I13*'8. Site Values'!G85</f>
        <v>0</v>
      </c>
      <c r="J26" s="91">
        <f>J13*'8. Site Values'!H85</f>
        <v>0</v>
      </c>
      <c r="K26" s="91">
        <f>K13*'8. Site Values'!I85</f>
        <v>0</v>
      </c>
      <c r="L26" s="91">
        <f>L13*'8. Site Values'!J85</f>
        <v>0</v>
      </c>
      <c r="M26" s="91">
        <f>M13*'8. Site Values'!K85</f>
        <v>0</v>
      </c>
      <c r="N26" s="91">
        <f>N13*'8. Site Values'!L85</f>
        <v>0</v>
      </c>
      <c r="O26" s="91">
        <f>O13*'8. Site Values'!M85</f>
        <v>0</v>
      </c>
      <c r="P26" s="91">
        <f>P13*'8. Site Values'!N85</f>
        <v>0</v>
      </c>
      <c r="Q26" s="91">
        <f>Q13*'8. Site Values'!O85</f>
        <v>0</v>
      </c>
      <c r="R26" s="91">
        <f>R13*'8. Site Values'!P85</f>
        <v>0</v>
      </c>
      <c r="S26" s="91">
        <f>S13*'8. Site Values'!Q85</f>
        <v>0</v>
      </c>
      <c r="T26" s="91">
        <f>T13*'8. Site Values'!R85</f>
        <v>0</v>
      </c>
      <c r="U26" s="91">
        <f>U13*'8. Site Values'!S85</f>
        <v>0</v>
      </c>
      <c r="V26" s="91">
        <f>V13*'8. Site Values'!T85</f>
        <v>0</v>
      </c>
      <c r="W26" s="91">
        <f>W13*'8. Site Values'!U85</f>
        <v>0</v>
      </c>
      <c r="X26" s="91">
        <f>X13*'8. Site Values'!V85</f>
        <v>0</v>
      </c>
      <c r="Y26" s="91">
        <f>Y13*'8. Site Values'!W85</f>
        <v>0</v>
      </c>
      <c r="Z26" s="91">
        <f>Z13*'8. Site Values'!X85</f>
        <v>0</v>
      </c>
      <c r="AA26" s="91">
        <f>AA13*'8. Site Values'!Y85</f>
        <v>0</v>
      </c>
      <c r="AB26" s="91">
        <f>AB13*'8. Site Values'!Z85</f>
        <v>0</v>
      </c>
      <c r="AC26" s="91">
        <f>AC13*'8. Site Values'!AA85</f>
        <v>0</v>
      </c>
      <c r="AD26" s="91">
        <f>AD13*'8. Site Values'!AB85</f>
        <v>0</v>
      </c>
      <c r="AE26" s="91">
        <f>AE13*'8. Site Values'!AC85</f>
        <v>0</v>
      </c>
      <c r="AF26" s="91">
        <f>AF13*'8. Site Values'!AD85</f>
        <v>0</v>
      </c>
      <c r="AG26" s="91">
        <f>AG13*'8. Site Values'!AE85</f>
        <v>0</v>
      </c>
      <c r="AH26" s="91">
        <f>AH13*'8. Site Values'!AF85</f>
        <v>0</v>
      </c>
      <c r="AI26" s="91">
        <f>AI13*'8. Site Values'!AG85</f>
        <v>0</v>
      </c>
      <c r="AJ26" s="91">
        <f>AJ13*'8. Site Values'!AH85</f>
        <v>0</v>
      </c>
      <c r="AK26" s="91">
        <f>AK13*'8. Site Values'!AI85</f>
        <v>0</v>
      </c>
      <c r="AL26" s="91">
        <f>AL13*'8. Site Values'!AJ85</f>
        <v>0</v>
      </c>
      <c r="AM26" s="91">
        <f>AM13*'8. Site Values'!AK85</f>
        <v>0</v>
      </c>
      <c r="AN26" s="91">
        <f>AN13*'8. Site Values'!AL85</f>
        <v>0</v>
      </c>
      <c r="AO26" s="91">
        <f>AO13*'8. Site Values'!AM85</f>
        <v>0</v>
      </c>
      <c r="AP26" s="91">
        <f>AP13*'8. Site Values'!AN85</f>
        <v>0</v>
      </c>
      <c r="AQ26" s="91">
        <f>AQ13*'8. Site Values'!AO85</f>
        <v>0</v>
      </c>
      <c r="AR26" s="91">
        <f>AR13*'8. Site Values'!AP85</f>
        <v>0</v>
      </c>
      <c r="AS26" s="91">
        <f>AS13*'8. Site Values'!AQ85</f>
        <v>0</v>
      </c>
      <c r="AT26" s="91">
        <f>AT13*'8. Site Values'!AR85</f>
        <v>0</v>
      </c>
      <c r="AU26" s="91">
        <f>AU13*'8. Site Values'!AS85</f>
        <v>0</v>
      </c>
      <c r="AV26" s="91">
        <f>AV13*'8. Site Values'!AT85</f>
        <v>0</v>
      </c>
      <c r="AW26" s="91">
        <f>AW13*'8. Site Values'!AU85</f>
        <v>0</v>
      </c>
      <c r="AX26" s="91">
        <f>AX13*'8. Site Values'!AV85</f>
        <v>0</v>
      </c>
      <c r="AY26" s="91">
        <f>AY13*'8. Site Values'!AW85</f>
        <v>0</v>
      </c>
      <c r="AZ26" s="91">
        <f>AZ13*'8. Site Values'!AX85</f>
        <v>0</v>
      </c>
      <c r="BA26" s="91">
        <f>BA13*'8. Site Values'!AY85</f>
        <v>0</v>
      </c>
      <c r="BB26" s="91">
        <f>BB13*'8. Site Values'!AZ85</f>
        <v>0</v>
      </c>
      <c r="BC26" s="591">
        <f>BC13*'8. Site Values'!BA85</f>
        <v>0</v>
      </c>
      <c r="BD26" s="91">
        <f>BD13*'8. Site Values'!BB85</f>
        <v>0</v>
      </c>
      <c r="BE26" s="91">
        <f>BE13*'8. Site Values'!BC85</f>
        <v>0</v>
      </c>
      <c r="BF26" s="91">
        <f>BF13*'8. Site Values'!BD85</f>
        <v>0</v>
      </c>
      <c r="BG26" s="91">
        <f>BG13*'8. Site Values'!BE85</f>
        <v>0</v>
      </c>
      <c r="BH26" s="91">
        <f>BH13*'8. Site Values'!BF85</f>
        <v>0</v>
      </c>
      <c r="BI26" s="91">
        <f>BI13*'8. Site Values'!BG85</f>
        <v>0</v>
      </c>
      <c r="BJ26" s="91">
        <f>BJ13*'8. Site Values'!BH85</f>
        <v>0</v>
      </c>
      <c r="BK26" s="91">
        <f>BK13*'8. Site Values'!BI85</f>
        <v>0</v>
      </c>
      <c r="BL26" s="91">
        <f>BL13*'8. Site Values'!BJ85</f>
        <v>0</v>
      </c>
      <c r="BM26" s="91">
        <f>BM13*'8. Site Values'!BK85</f>
        <v>0</v>
      </c>
      <c r="BN26" s="91">
        <f>BN13*'8. Site Values'!BL85</f>
        <v>0</v>
      </c>
      <c r="BO26" s="91">
        <f>BO13*'8. Site Values'!BM85</f>
        <v>0</v>
      </c>
      <c r="BP26" s="91">
        <f>BP13*'8. Site Values'!BN85</f>
        <v>0</v>
      </c>
      <c r="BQ26" s="91">
        <f>BQ13*'8. Site Values'!BO85</f>
        <v>0</v>
      </c>
      <c r="BR26" s="91">
        <f>BR13*'8. Site Values'!BP85</f>
        <v>0</v>
      </c>
      <c r="BS26" s="91">
        <f>BS13*'8. Site Values'!BQ85</f>
        <v>0</v>
      </c>
      <c r="BT26" s="91">
        <f>BT13*'8. Site Values'!BR85</f>
        <v>0</v>
      </c>
      <c r="BU26" s="91">
        <f>BU13*'8. Site Values'!BS85</f>
        <v>0</v>
      </c>
      <c r="BV26" s="91">
        <f>BV13*'8. Site Values'!BT85</f>
        <v>0</v>
      </c>
      <c r="BW26" s="91">
        <f>BW13*'8. Site Values'!BU85</f>
        <v>0</v>
      </c>
      <c r="BX26" s="91">
        <f>BX13*'8. Site Values'!BV85</f>
        <v>0</v>
      </c>
      <c r="BY26" s="91">
        <f>BY13*'8. Site Values'!BW85</f>
        <v>0</v>
      </c>
      <c r="BZ26" s="91">
        <f>BZ13*'8. Site Values'!BX85</f>
        <v>0</v>
      </c>
      <c r="CA26" s="91">
        <f>CA13*'8. Site Values'!BY85</f>
        <v>0</v>
      </c>
      <c r="CB26" s="91">
        <f>CB13*'8. Site Values'!BZ85</f>
        <v>0</v>
      </c>
      <c r="CC26" s="91">
        <f>CC13*'8. Site Values'!CA85</f>
        <v>0</v>
      </c>
      <c r="CD26" s="91">
        <f>CD13*'8. Site Values'!CB85</f>
        <v>0</v>
      </c>
      <c r="CE26" s="91">
        <f>CE13*'8. Site Values'!CC85</f>
        <v>0</v>
      </c>
      <c r="CF26" s="91">
        <f>CF13*'8. Site Values'!CD85</f>
        <v>0</v>
      </c>
      <c r="CG26" s="91">
        <f>CG13*'8. Site Values'!CE85</f>
        <v>0</v>
      </c>
      <c r="CH26" s="91">
        <f>CH13*'8. Site Values'!CF85</f>
        <v>0</v>
      </c>
      <c r="CI26" s="91">
        <f>CI13*'8. Site Values'!CG85</f>
        <v>0</v>
      </c>
      <c r="CJ26" s="91">
        <f>CJ13*'8. Site Values'!CH85</f>
        <v>0</v>
      </c>
      <c r="CK26" s="91">
        <f>CK13*'8. Site Values'!CI85</f>
        <v>0</v>
      </c>
    </row>
    <row r="27" spans="2:89" s="2" customFormat="1" ht="15" customHeight="1">
      <c r="B27" s="232" t="s">
        <v>49</v>
      </c>
      <c r="C27" s="118"/>
      <c r="D27" s="528">
        <f>SUM(F27:CK27)</f>
        <v>11.017120622568102</v>
      </c>
      <c r="E27" s="100"/>
      <c r="F27" s="91">
        <f>F14*'8. Site Values'!D86</f>
        <v>0</v>
      </c>
      <c r="G27" s="91">
        <f>G14*'8. Site Values'!E86</f>
        <v>0</v>
      </c>
      <c r="H27" s="91">
        <f>H14*'8. Site Values'!F86</f>
        <v>0</v>
      </c>
      <c r="I27" s="91">
        <f>I14*'8. Site Values'!G86</f>
        <v>0</v>
      </c>
      <c r="J27" s="91">
        <f>J14*'8. Site Values'!H86</f>
        <v>0</v>
      </c>
      <c r="K27" s="91">
        <f>K14*'8. Site Values'!I86</f>
        <v>0</v>
      </c>
      <c r="L27" s="91">
        <f>L14*'8. Site Values'!J86</f>
        <v>0</v>
      </c>
      <c r="M27" s="91">
        <f>M14*'8. Site Values'!K86</f>
        <v>0</v>
      </c>
      <c r="N27" s="91">
        <f>N14*'8. Site Values'!L86</f>
        <v>0</v>
      </c>
      <c r="O27" s="91"/>
      <c r="P27" s="91">
        <f>P14*'8. Site Values'!N86</f>
        <v>0</v>
      </c>
      <c r="Q27" s="91">
        <f>Q14*'8. Site Values'!O86</f>
        <v>0</v>
      </c>
      <c r="R27" s="91">
        <f>R14*'8. Site Values'!P86</f>
        <v>0</v>
      </c>
      <c r="S27" s="91">
        <f>S14*'8. Site Values'!Q86</f>
        <v>0.15966841481982744</v>
      </c>
      <c r="T27" s="91">
        <f>T14*'8. Site Values'!R86</f>
        <v>0.15966841481982744</v>
      </c>
      <c r="U27" s="91">
        <f>U14*'8. Site Values'!S86</f>
        <v>0.15966841481982744</v>
      </c>
      <c r="V27" s="91">
        <f>V14*'8. Site Values'!T86</f>
        <v>0.15966841481982744</v>
      </c>
      <c r="W27" s="91">
        <f>W14*'8. Site Values'!U86</f>
        <v>0.15966841481982744</v>
      </c>
      <c r="X27" s="91">
        <f>X14*'8. Site Values'!V86</f>
        <v>0.15966841481982744</v>
      </c>
      <c r="Y27" s="91">
        <f>Y14*'8. Site Values'!W86</f>
        <v>0.15966841481982744</v>
      </c>
      <c r="Z27" s="91">
        <f>Z14*'8. Site Values'!X86</f>
        <v>0.15966841481982744</v>
      </c>
      <c r="AA27" s="91">
        <f>AA14*'8. Site Values'!Y86</f>
        <v>0.15966841481982744</v>
      </c>
      <c r="AB27" s="91">
        <f>AB14*'8. Site Values'!Z86</f>
        <v>0.15966841481982744</v>
      </c>
      <c r="AC27" s="91">
        <f>AC14*'8. Site Values'!AA86</f>
        <v>0.15966841481982744</v>
      </c>
      <c r="AD27" s="91">
        <f>AD14*'8. Site Values'!AB86</f>
        <v>0.15966841481982744</v>
      </c>
      <c r="AE27" s="91">
        <f>AE14*'8. Site Values'!AC86</f>
        <v>0.15966841481982744</v>
      </c>
      <c r="AF27" s="91">
        <f>AF14*'8. Site Values'!AD86</f>
        <v>0.15966841481982744</v>
      </c>
      <c r="AG27" s="91">
        <f>AG14*'8. Site Values'!AE86</f>
        <v>0.15966841481982744</v>
      </c>
      <c r="AH27" s="91">
        <f>AH14*'8. Site Values'!AF86</f>
        <v>0.15966841481982744</v>
      </c>
      <c r="AI27" s="91">
        <f>AI14*'8. Site Values'!AG86</f>
        <v>0.15966841481982744</v>
      </c>
      <c r="AJ27" s="91">
        <f>AJ14*'8. Site Values'!AH86</f>
        <v>0.15966841481982744</v>
      </c>
      <c r="AK27" s="91">
        <f>AK14*'8. Site Values'!AI86</f>
        <v>0.15966841481982744</v>
      </c>
      <c r="AL27" s="91">
        <f>AL14*'8. Site Values'!AJ86</f>
        <v>0.15966841481982744</v>
      </c>
      <c r="AM27" s="91">
        <f>AM14*'8. Site Values'!AK86</f>
        <v>0.15966841481982744</v>
      </c>
      <c r="AN27" s="91">
        <f>AN14*'8. Site Values'!AL86</f>
        <v>0.15966841481982744</v>
      </c>
      <c r="AO27" s="91">
        <f>AO14*'8. Site Values'!AM86</f>
        <v>0.15966841481982744</v>
      </c>
      <c r="AP27" s="91">
        <f>AP14*'8. Site Values'!AN86</f>
        <v>0.15966841481982744</v>
      </c>
      <c r="AQ27" s="91">
        <f>AQ14*'8. Site Values'!AO86</f>
        <v>0.15966841481982744</v>
      </c>
      <c r="AR27" s="91">
        <f>AR14*'8. Site Values'!AP86</f>
        <v>0.15966841481982744</v>
      </c>
      <c r="AS27" s="91">
        <f>AS14*'8. Site Values'!AQ86</f>
        <v>0.15966841481982744</v>
      </c>
      <c r="AT27" s="91">
        <f>AT14*'8. Site Values'!AR86</f>
        <v>0.15966841481982744</v>
      </c>
      <c r="AU27" s="91">
        <f>AU14*'8. Site Values'!AS86</f>
        <v>0.15966841481982744</v>
      </c>
      <c r="AV27" s="91">
        <f>AV14*'8. Site Values'!AT86</f>
        <v>0.15966841481982744</v>
      </c>
      <c r="AW27" s="91">
        <f>AW14*'8. Site Values'!AU86</f>
        <v>0.15966841481982744</v>
      </c>
      <c r="AX27" s="91">
        <f>AX14*'8. Site Values'!AV86</f>
        <v>0.15966841481982744</v>
      </c>
      <c r="AY27" s="91">
        <f>AY14*'8. Site Values'!AW86</f>
        <v>0.15966841481982744</v>
      </c>
      <c r="AZ27" s="91">
        <f>AZ14*'8. Site Values'!AX86</f>
        <v>0.15966841481982744</v>
      </c>
      <c r="BA27" s="91">
        <f>BA14*'8. Site Values'!AY86</f>
        <v>0.15966841481982744</v>
      </c>
      <c r="BB27" s="91">
        <f>BB14*'8. Site Values'!AZ86</f>
        <v>0.15966841481982744</v>
      </c>
      <c r="BC27" s="591">
        <f>BC14*'8. Site Values'!BA86</f>
        <v>0.15966841481982744</v>
      </c>
      <c r="BD27" s="91">
        <f>BD14*'8. Site Values'!BB86</f>
        <v>0.15966841481982744</v>
      </c>
      <c r="BE27" s="91">
        <f>BE14*'8. Site Values'!BC86</f>
        <v>0.15966841481982744</v>
      </c>
      <c r="BF27" s="91">
        <f>BF14*'8. Site Values'!BD86</f>
        <v>0.15966841481982744</v>
      </c>
      <c r="BG27" s="91">
        <f>BG14*'8. Site Values'!BE86</f>
        <v>0.15966841481982744</v>
      </c>
      <c r="BH27" s="91">
        <f>BH14*'8. Site Values'!BF86</f>
        <v>0.15966841481982744</v>
      </c>
      <c r="BI27" s="91">
        <f>BI14*'8. Site Values'!BG86</f>
        <v>0.15966841481982744</v>
      </c>
      <c r="BJ27" s="91">
        <f>BJ14*'8. Site Values'!BH86</f>
        <v>0.15966841481982744</v>
      </c>
      <c r="BK27" s="91">
        <f>BK14*'8. Site Values'!BI86</f>
        <v>0.15966841481982744</v>
      </c>
      <c r="BL27" s="91">
        <f>BL14*'8. Site Values'!BJ86</f>
        <v>0.15966841481982744</v>
      </c>
      <c r="BM27" s="91">
        <f>BM14*'8. Site Values'!BK86</f>
        <v>0.15966841481982744</v>
      </c>
      <c r="BN27" s="91">
        <f>BN14*'8. Site Values'!BL86</f>
        <v>0.15966841481982744</v>
      </c>
      <c r="BO27" s="91">
        <f>BO14*'8. Site Values'!BM86</f>
        <v>0.15966841481982744</v>
      </c>
      <c r="BP27" s="91">
        <f>BP14*'8. Site Values'!BN86</f>
        <v>0.15966841481982744</v>
      </c>
      <c r="BQ27" s="91">
        <f>BQ14*'8. Site Values'!BO86</f>
        <v>0.15966841481982744</v>
      </c>
      <c r="BR27" s="91">
        <f>BR14*'8. Site Values'!BP86</f>
        <v>0.15966841481982744</v>
      </c>
      <c r="BS27" s="91">
        <f>BS14*'8. Site Values'!BQ86</f>
        <v>0.15966841481982744</v>
      </c>
      <c r="BT27" s="91">
        <f>BT14*'8. Site Values'!BR86</f>
        <v>0.15966841481982744</v>
      </c>
      <c r="BU27" s="91">
        <f>BU14*'8. Site Values'!BS86</f>
        <v>0.15966841481982744</v>
      </c>
      <c r="BV27" s="91">
        <f>BV14*'8. Site Values'!BT86</f>
        <v>0.15966841481982744</v>
      </c>
      <c r="BW27" s="91">
        <f>BW14*'8. Site Values'!BU86</f>
        <v>0.15966841481982744</v>
      </c>
      <c r="BX27" s="91">
        <f>BX14*'8. Site Values'!BV86</f>
        <v>0.15966841481982744</v>
      </c>
      <c r="BY27" s="91">
        <f>BY14*'8. Site Values'!BW86</f>
        <v>0.15966841481982744</v>
      </c>
      <c r="BZ27" s="91">
        <f>BZ14*'8. Site Values'!BX86</f>
        <v>0.15966841481982744</v>
      </c>
      <c r="CA27" s="91">
        <f>CA14*'8. Site Values'!BY86</f>
        <v>0.15966841481982744</v>
      </c>
      <c r="CB27" s="91">
        <f>CB14*'8. Site Values'!BZ86</f>
        <v>0.15966841481982744</v>
      </c>
      <c r="CC27" s="91">
        <f>CC14*'8. Site Values'!CA86</f>
        <v>0.15966841481982744</v>
      </c>
      <c r="CD27" s="91">
        <f>CD14*'8. Site Values'!CB86</f>
        <v>0.15966841481982744</v>
      </c>
      <c r="CE27" s="91">
        <f>CE14*'8. Site Values'!CC86</f>
        <v>0.15966841481982744</v>
      </c>
      <c r="CF27" s="91">
        <f>CF14*'8. Site Values'!CD86</f>
        <v>0.15966841481982744</v>
      </c>
      <c r="CG27" s="91">
        <f>CG14*'8. Site Values'!CE86</f>
        <v>0.15966841481982744</v>
      </c>
      <c r="CH27" s="91">
        <f>CH14*'8. Site Values'!CF86</f>
        <v>0.15966841481982744</v>
      </c>
      <c r="CI27" s="91">
        <f>CI14*'8. Site Values'!CG86</f>
        <v>0.15966841481982744</v>
      </c>
      <c r="CJ27" s="91">
        <f>CJ14*'8. Site Values'!CH86</f>
        <v>0</v>
      </c>
      <c r="CK27" s="91">
        <f>CK14*'8. Site Values'!CI86</f>
        <v>0</v>
      </c>
    </row>
    <row r="28" spans="2:89" s="2" customFormat="1" ht="15" customHeight="1">
      <c r="B28" s="114" t="s">
        <v>592</v>
      </c>
      <c r="C28" s="118"/>
      <c r="D28" s="528">
        <f>SUM(F28:CK28)</f>
        <v>79.238190954773856</v>
      </c>
      <c r="E28" s="100"/>
      <c r="F28" s="91">
        <f>F15*'8. Site Values'!D87</f>
        <v>0</v>
      </c>
      <c r="G28" s="91">
        <f>G15*'8. Site Values'!E87</f>
        <v>0</v>
      </c>
      <c r="H28" s="91">
        <f>H15*'8. Site Values'!F87</f>
        <v>0</v>
      </c>
      <c r="I28" s="91">
        <f>I15*'8. Site Values'!G87</f>
        <v>0</v>
      </c>
      <c r="J28" s="91">
        <f>J15*'8. Site Values'!H87</f>
        <v>0</v>
      </c>
      <c r="K28" s="91">
        <f>K15*'8. Site Values'!I87</f>
        <v>0</v>
      </c>
      <c r="L28" s="91">
        <f>L15*'8. Site Values'!J87</f>
        <v>0</v>
      </c>
      <c r="M28" s="91">
        <f>M15*'8. Site Values'!K87</f>
        <v>0</v>
      </c>
      <c r="N28" s="91">
        <f>N15*'8. Site Values'!L87</f>
        <v>0</v>
      </c>
      <c r="O28" s="91"/>
      <c r="P28" s="91">
        <f>P15*'8. Site Values'!N87</f>
        <v>0</v>
      </c>
      <c r="Q28" s="91">
        <f>Q15*'8. Site Values'!O87</f>
        <v>0</v>
      </c>
      <c r="R28" s="91">
        <f>R15*'8. Site Values'!P87</f>
        <v>0</v>
      </c>
      <c r="S28" s="91">
        <f>S15*'8. Site Values'!Q87</f>
        <v>2.5407035175879398</v>
      </c>
      <c r="T28" s="91">
        <f>T15*'8. Site Values'!R87</f>
        <v>0</v>
      </c>
      <c r="U28" s="91">
        <f>U15*'8. Site Values'!S87</f>
        <v>0</v>
      </c>
      <c r="V28" s="91">
        <f>V15*'8. Site Values'!T87</f>
        <v>0</v>
      </c>
      <c r="W28" s="91">
        <f>W15*'8. Site Values'!U87</f>
        <v>2.5407035175879398</v>
      </c>
      <c r="X28" s="91">
        <f>X15*'8. Site Values'!V87</f>
        <v>0</v>
      </c>
      <c r="Y28" s="91">
        <f>Y15*'8. Site Values'!W87</f>
        <v>0</v>
      </c>
      <c r="Z28" s="91">
        <f>Z15*'8. Site Values'!X87</f>
        <v>0</v>
      </c>
      <c r="AA28" s="91">
        <f>AA15*'8. Site Values'!Y87</f>
        <v>12.46532663316583</v>
      </c>
      <c r="AB28" s="91">
        <f>AB15*'8. Site Values'!Z87</f>
        <v>0</v>
      </c>
      <c r="AC28" s="91">
        <f>AC15*'8. Site Values'!AA87</f>
        <v>0</v>
      </c>
      <c r="AD28" s="91">
        <f>AD15*'8. Site Values'!AB87</f>
        <v>0</v>
      </c>
      <c r="AE28" s="91">
        <f>AE15*'8. Site Values'!AC87</f>
        <v>2.5407035175879398</v>
      </c>
      <c r="AF28" s="91">
        <f>AF15*'8. Site Values'!AD87</f>
        <v>0</v>
      </c>
      <c r="AG28" s="91">
        <f>AG15*'8. Site Values'!AE87</f>
        <v>0</v>
      </c>
      <c r="AH28" s="91">
        <f>AH15*'8. Site Values'!AF87</f>
        <v>0</v>
      </c>
      <c r="AI28" s="91">
        <f>AI15*'8. Site Values'!AG87</f>
        <v>2.5407035175879398</v>
      </c>
      <c r="AJ28" s="91">
        <f>AJ15*'8. Site Values'!AH87</f>
        <v>0</v>
      </c>
      <c r="AK28" s="91">
        <f>AK15*'8. Site Values'!AI87</f>
        <v>0</v>
      </c>
      <c r="AL28" s="91">
        <f>AL15*'8. Site Values'!AJ87</f>
        <v>0</v>
      </c>
      <c r="AM28" s="91">
        <f>AM15*'8. Site Values'!AK87</f>
        <v>2.5407035175879398</v>
      </c>
      <c r="AN28" s="91">
        <f>AN15*'8. Site Values'!AL87</f>
        <v>0</v>
      </c>
      <c r="AO28" s="91">
        <f>AO15*'8. Site Values'!AM87</f>
        <v>0</v>
      </c>
      <c r="AP28" s="91">
        <f>AP15*'8. Site Values'!AN87</f>
        <v>0</v>
      </c>
      <c r="AQ28" s="91">
        <f>AQ15*'8. Site Values'!AO87</f>
        <v>12.46532663316583</v>
      </c>
      <c r="AR28" s="91">
        <f>AR15*'8. Site Values'!AP87</f>
        <v>0</v>
      </c>
      <c r="AS28" s="91">
        <f>AS15*'8. Site Values'!AQ87</f>
        <v>0</v>
      </c>
      <c r="AT28" s="91">
        <f>AT15*'8. Site Values'!AR87</f>
        <v>0</v>
      </c>
      <c r="AU28" s="91">
        <f>AU15*'8. Site Values'!AS87</f>
        <v>2.5407035175879398</v>
      </c>
      <c r="AV28" s="91">
        <f>AV15*'8. Site Values'!AT87</f>
        <v>0</v>
      </c>
      <c r="AW28" s="91">
        <f>AW15*'8. Site Values'!AU87</f>
        <v>0</v>
      </c>
      <c r="AX28" s="91">
        <f>AX15*'8. Site Values'!AV87</f>
        <v>0</v>
      </c>
      <c r="AY28" s="91">
        <f>AY15*'8. Site Values'!AW87</f>
        <v>2.5407035175879398</v>
      </c>
      <c r="AZ28" s="91">
        <f>AZ15*'8. Site Values'!AX87</f>
        <v>0</v>
      </c>
      <c r="BA28" s="91">
        <f>BA15*'8. Site Values'!AY87</f>
        <v>0</v>
      </c>
      <c r="BB28" s="91">
        <f>BB15*'8. Site Values'!AZ87</f>
        <v>0</v>
      </c>
      <c r="BC28" s="591">
        <f>BC15*'8. Site Values'!BA87</f>
        <v>2.778894472361809</v>
      </c>
      <c r="BD28" s="91">
        <f>BD15*'8. Site Values'!BB87</f>
        <v>0</v>
      </c>
      <c r="BE28" s="91">
        <f>BE15*'8. Site Values'!BC87</f>
        <v>0</v>
      </c>
      <c r="BF28" s="91">
        <f>BF15*'8. Site Values'!BD87</f>
        <v>0</v>
      </c>
      <c r="BG28" s="91">
        <f>BG15*'8. Site Values'!BE87</f>
        <v>2.3819095477386933</v>
      </c>
      <c r="BH28" s="91">
        <f>BH15*'8. Site Values'!BF87</f>
        <v>0</v>
      </c>
      <c r="BI28" s="91">
        <f>BI15*'8. Site Values'!BG87</f>
        <v>0</v>
      </c>
      <c r="BJ28" s="91">
        <f>BJ15*'8. Site Values'!BH87</f>
        <v>0</v>
      </c>
      <c r="BK28" s="91">
        <f>BK15*'8. Site Values'!BI87</f>
        <v>9.924623115577889</v>
      </c>
      <c r="BL28" s="91">
        <f>BL15*'8. Site Values'!BJ87</f>
        <v>0</v>
      </c>
      <c r="BM28" s="91">
        <f>BM15*'8. Site Values'!BK87</f>
        <v>0</v>
      </c>
      <c r="BN28" s="91">
        <f>BN15*'8. Site Values'!BL87</f>
        <v>0</v>
      </c>
      <c r="BO28" s="91">
        <f>BO15*'8. Site Values'!BM87</f>
        <v>2.3819095477386933</v>
      </c>
      <c r="BP28" s="91">
        <f>BP15*'8. Site Values'!BN87</f>
        <v>0</v>
      </c>
      <c r="BQ28" s="91">
        <f>BQ15*'8. Site Values'!BO87</f>
        <v>0</v>
      </c>
      <c r="BR28" s="91">
        <f>BR15*'8. Site Values'!BP87</f>
        <v>0</v>
      </c>
      <c r="BS28" s="91">
        <f>BS15*'8. Site Values'!BQ87</f>
        <v>2.3819095477386933</v>
      </c>
      <c r="BT28" s="91">
        <f>BT15*'8. Site Values'!BR87</f>
        <v>0</v>
      </c>
      <c r="BU28" s="91">
        <f>BU15*'8. Site Values'!BS87</f>
        <v>0</v>
      </c>
      <c r="BV28" s="91">
        <f>BV15*'8. Site Values'!BT87</f>
        <v>0</v>
      </c>
      <c r="BW28" s="91">
        <f>BW15*'8. Site Values'!BU87</f>
        <v>2.3819095477386933</v>
      </c>
      <c r="BX28" s="91">
        <f>BX15*'8. Site Values'!BV87</f>
        <v>0</v>
      </c>
      <c r="BY28" s="91">
        <f>BY15*'8. Site Values'!BW87</f>
        <v>0</v>
      </c>
      <c r="BZ28" s="91">
        <f>BZ15*'8. Site Values'!BX87</f>
        <v>0</v>
      </c>
      <c r="CA28" s="91">
        <f>CA15*'8. Site Values'!BY87</f>
        <v>2.3819095477386933</v>
      </c>
      <c r="CB28" s="91">
        <f>CB15*'8. Site Values'!BZ87</f>
        <v>0</v>
      </c>
      <c r="CC28" s="91">
        <f>CC15*'8. Site Values'!CA87</f>
        <v>0</v>
      </c>
      <c r="CD28" s="91">
        <f>CD15*'8. Site Values'!CB87</f>
        <v>0</v>
      </c>
      <c r="CE28" s="91">
        <f>CE15*'8. Site Values'!CC87</f>
        <v>9.5276381909547734</v>
      </c>
      <c r="CF28" s="91">
        <f>CF15*'8. Site Values'!CD87</f>
        <v>0</v>
      </c>
      <c r="CG28" s="91">
        <f>CG15*'8. Site Values'!CE87</f>
        <v>0</v>
      </c>
      <c r="CH28" s="91">
        <f>CH15*'8. Site Values'!CF87</f>
        <v>0</v>
      </c>
      <c r="CI28" s="91">
        <f>CI15*'8. Site Values'!CG87</f>
        <v>2.3819095477386933</v>
      </c>
      <c r="CJ28" s="91">
        <f>CJ15*'8. Site Values'!CH87</f>
        <v>0</v>
      </c>
      <c r="CK28" s="91">
        <f>CK15*'8. Site Values'!CI87</f>
        <v>0</v>
      </c>
    </row>
    <row r="29" spans="2:89" s="2" customFormat="1" ht="15" customHeight="1">
      <c r="B29" s="124" t="s">
        <v>95</v>
      </c>
      <c r="C29" s="125"/>
      <c r="D29" s="528">
        <f>SUM(F29:CK29)</f>
        <v>2256.0315159522856</v>
      </c>
      <c r="E29" s="97"/>
      <c r="F29" s="91">
        <f>SUM(F20:F28)</f>
        <v>0</v>
      </c>
      <c r="G29" s="91">
        <f t="shared" ref="G29:AS29" si="4">SUM(G20:G28)</f>
        <v>6.6299068606165872E-3</v>
      </c>
      <c r="H29" s="91">
        <f>SUM(H20:H28)</f>
        <v>0</v>
      </c>
      <c r="I29" s="91">
        <f t="shared" si="4"/>
        <v>0</v>
      </c>
      <c r="J29" s="91">
        <f t="shared" si="4"/>
        <v>0</v>
      </c>
      <c r="K29" s="91">
        <f t="shared" si="4"/>
        <v>0</v>
      </c>
      <c r="L29" s="91">
        <f t="shared" si="4"/>
        <v>0</v>
      </c>
      <c r="M29" s="91">
        <f t="shared" si="4"/>
        <v>0</v>
      </c>
      <c r="N29" s="91">
        <f t="shared" si="4"/>
        <v>0</v>
      </c>
      <c r="O29" s="91">
        <f t="shared" si="4"/>
        <v>0</v>
      </c>
      <c r="P29" s="91">
        <f t="shared" si="4"/>
        <v>0</v>
      </c>
      <c r="Q29" s="91">
        <f t="shared" si="4"/>
        <v>0</v>
      </c>
      <c r="R29" s="91">
        <f t="shared" si="4"/>
        <v>0</v>
      </c>
      <c r="S29" s="91">
        <f t="shared" si="4"/>
        <v>18.170154607179807</v>
      </c>
      <c r="T29" s="91">
        <f t="shared" si="4"/>
        <v>31.099233764363902</v>
      </c>
      <c r="U29" s="91">
        <f t="shared" si="4"/>
        <v>31.099233764363902</v>
      </c>
      <c r="V29" s="91">
        <f t="shared" si="4"/>
        <v>31.099233764363902</v>
      </c>
      <c r="W29" s="91">
        <f t="shared" si="4"/>
        <v>33.639937281951845</v>
      </c>
      <c r="X29" s="91">
        <f t="shared" si="4"/>
        <v>31.099233764363902</v>
      </c>
      <c r="Y29" s="91">
        <f t="shared" si="4"/>
        <v>31.099233764363902</v>
      </c>
      <c r="Z29" s="91">
        <f t="shared" si="4"/>
        <v>31.099233764363902</v>
      </c>
      <c r="AA29" s="91">
        <f t="shared" si="4"/>
        <v>43.564560397529732</v>
      </c>
      <c r="AB29" s="91">
        <f t="shared" si="4"/>
        <v>31.099233764363902</v>
      </c>
      <c r="AC29" s="91">
        <f t="shared" si="4"/>
        <v>31.099233764363902</v>
      </c>
      <c r="AD29" s="91">
        <f t="shared" si="4"/>
        <v>31.099233764363902</v>
      </c>
      <c r="AE29" s="91">
        <f t="shared" si="4"/>
        <v>33.639937281951845</v>
      </c>
      <c r="AF29" s="91">
        <f t="shared" si="4"/>
        <v>31.099233764363902</v>
      </c>
      <c r="AG29" s="91">
        <f t="shared" si="4"/>
        <v>31.099233764363902</v>
      </c>
      <c r="AH29" s="91">
        <f t="shared" si="4"/>
        <v>31.099233764363902</v>
      </c>
      <c r="AI29" s="91">
        <f t="shared" si="4"/>
        <v>33.639937281951845</v>
      </c>
      <c r="AJ29" s="91">
        <f t="shared" si="4"/>
        <v>31.099233764363902</v>
      </c>
      <c r="AK29" s="91">
        <f t="shared" si="4"/>
        <v>31.099233764363902</v>
      </c>
      <c r="AL29" s="91">
        <f t="shared" si="4"/>
        <v>31.099233764363902</v>
      </c>
      <c r="AM29" s="91">
        <f t="shared" si="4"/>
        <v>33.639937281951845</v>
      </c>
      <c r="AN29" s="91">
        <f t="shared" si="4"/>
        <v>31.099233764363902</v>
      </c>
      <c r="AO29" s="91">
        <f t="shared" si="4"/>
        <v>31.099233764363902</v>
      </c>
      <c r="AP29" s="91">
        <f t="shared" si="4"/>
        <v>31.099233764363902</v>
      </c>
      <c r="AQ29" s="91">
        <f t="shared" si="4"/>
        <v>43.564560397529732</v>
      </c>
      <c r="AR29" s="91">
        <f t="shared" si="4"/>
        <v>31.099233764363902</v>
      </c>
      <c r="AS29" s="91">
        <f t="shared" si="4"/>
        <v>31.099233764363902</v>
      </c>
      <c r="AT29" s="91">
        <f t="shared" ref="AT29:BC29" si="5">SUM(AT20:AT28)</f>
        <v>31.099233764363902</v>
      </c>
      <c r="AU29" s="91">
        <f t="shared" si="5"/>
        <v>33.639937281951845</v>
      </c>
      <c r="AV29" s="91">
        <f t="shared" si="5"/>
        <v>31.099233764363902</v>
      </c>
      <c r="AW29" s="91">
        <f t="shared" si="5"/>
        <v>31.099233764363902</v>
      </c>
      <c r="AX29" s="91">
        <f t="shared" si="5"/>
        <v>31.099233764363902</v>
      </c>
      <c r="AY29" s="91">
        <f t="shared" si="5"/>
        <v>33.639937281951845</v>
      </c>
      <c r="AZ29" s="91">
        <f t="shared" si="5"/>
        <v>31.099233764363902</v>
      </c>
      <c r="BA29" s="91">
        <f t="shared" si="5"/>
        <v>31.099233764363902</v>
      </c>
      <c r="BB29" s="91">
        <f t="shared" si="5"/>
        <v>31.099233764363902</v>
      </c>
      <c r="BC29" s="591">
        <f t="shared" si="5"/>
        <v>33.878128236725708</v>
      </c>
      <c r="BD29" s="91">
        <f t="shared" ref="BD29:CK29" si="6">SUM(BD20:BD28)</f>
        <v>31.099233764363902</v>
      </c>
      <c r="BE29" s="91">
        <f t="shared" si="6"/>
        <v>31.099233764363902</v>
      </c>
      <c r="BF29" s="91">
        <f t="shared" si="6"/>
        <v>31.099233764363902</v>
      </c>
      <c r="BG29" s="91">
        <f t="shared" si="6"/>
        <v>33.481143312102596</v>
      </c>
      <c r="BH29" s="91">
        <f t="shared" si="6"/>
        <v>31.099233764363902</v>
      </c>
      <c r="BI29" s="91">
        <f t="shared" si="6"/>
        <v>31.099233764363902</v>
      </c>
      <c r="BJ29" s="91">
        <f t="shared" si="6"/>
        <v>31.099233764363902</v>
      </c>
      <c r="BK29" s="91">
        <f t="shared" si="6"/>
        <v>41.023856879941789</v>
      </c>
      <c r="BL29" s="91">
        <f t="shared" si="6"/>
        <v>31.099233764363902</v>
      </c>
      <c r="BM29" s="91">
        <f t="shared" si="6"/>
        <v>31.099233764363902</v>
      </c>
      <c r="BN29" s="91">
        <f t="shared" si="6"/>
        <v>31.099233764363902</v>
      </c>
      <c r="BO29" s="91">
        <f t="shared" si="6"/>
        <v>33.481143312102596</v>
      </c>
      <c r="BP29" s="91">
        <f t="shared" si="6"/>
        <v>31.099233764363902</v>
      </c>
      <c r="BQ29" s="91">
        <f t="shared" si="6"/>
        <v>31.099233764363902</v>
      </c>
      <c r="BR29" s="91">
        <f t="shared" si="6"/>
        <v>31.099233764363902</v>
      </c>
      <c r="BS29" s="91">
        <f t="shared" si="6"/>
        <v>33.481143312102596</v>
      </c>
      <c r="BT29" s="91">
        <f t="shared" si="6"/>
        <v>31.099233764363902</v>
      </c>
      <c r="BU29" s="91">
        <f t="shared" si="6"/>
        <v>31.099233764363902</v>
      </c>
      <c r="BV29" s="91">
        <f t="shared" si="6"/>
        <v>31.099233764363902</v>
      </c>
      <c r="BW29" s="91">
        <f t="shared" si="6"/>
        <v>33.481143312102596</v>
      </c>
      <c r="BX29" s="91">
        <f t="shared" si="6"/>
        <v>31.099233764363902</v>
      </c>
      <c r="BY29" s="91">
        <f t="shared" si="6"/>
        <v>31.099233764363902</v>
      </c>
      <c r="BZ29" s="91">
        <f t="shared" si="6"/>
        <v>31.099233764363902</v>
      </c>
      <c r="CA29" s="91">
        <f t="shared" si="6"/>
        <v>33.481143312102596</v>
      </c>
      <c r="CB29" s="91">
        <f t="shared" si="6"/>
        <v>31.099233764363902</v>
      </c>
      <c r="CC29" s="91">
        <f t="shared" si="6"/>
        <v>31.099233764363902</v>
      </c>
      <c r="CD29" s="91">
        <f t="shared" si="6"/>
        <v>31.099233764363902</v>
      </c>
      <c r="CE29" s="91">
        <f t="shared" si="6"/>
        <v>40.626871955318677</v>
      </c>
      <c r="CF29" s="91">
        <f t="shared" si="6"/>
        <v>31.099233764363902</v>
      </c>
      <c r="CG29" s="91">
        <f t="shared" si="6"/>
        <v>31.099233764363902</v>
      </c>
      <c r="CH29" s="91">
        <f t="shared" si="6"/>
        <v>31.099233764363902</v>
      </c>
      <c r="CI29" s="91">
        <f t="shared" si="6"/>
        <v>33.481143312102596</v>
      </c>
      <c r="CJ29" s="91">
        <f t="shared" si="6"/>
        <v>30.939565349544075</v>
      </c>
      <c r="CK29" s="91">
        <f t="shared" si="6"/>
        <v>15.469782674772038</v>
      </c>
    </row>
    <row r="30" spans="2:89" s="2" customFormat="1" ht="15" customHeight="1">
      <c r="C30" s="6"/>
      <c r="D30" s="529"/>
      <c r="E30" s="9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312"/>
    </row>
    <row r="31" spans="2:89" s="2" customFormat="1" ht="15" customHeight="1">
      <c r="B31" s="52" t="s">
        <v>111</v>
      </c>
      <c r="C31" s="53" t="s">
        <v>113</v>
      </c>
      <c r="D31" s="530" t="s">
        <v>4</v>
      </c>
      <c r="E31" s="94"/>
      <c r="F31" s="107" t="s">
        <v>5</v>
      </c>
      <c r="G31" s="107" t="s">
        <v>6</v>
      </c>
      <c r="H31" s="107" t="s">
        <v>7</v>
      </c>
      <c r="I31" s="107" t="s">
        <v>8</v>
      </c>
      <c r="J31" s="107" t="s">
        <v>9</v>
      </c>
      <c r="K31" s="107" t="s">
        <v>10</v>
      </c>
      <c r="L31" s="107" t="s">
        <v>11</v>
      </c>
      <c r="M31" s="107" t="s">
        <v>12</v>
      </c>
      <c r="N31" s="107" t="s">
        <v>13</v>
      </c>
      <c r="O31" s="107" t="s">
        <v>14</v>
      </c>
      <c r="P31" s="107" t="s">
        <v>15</v>
      </c>
      <c r="Q31" s="107" t="s">
        <v>16</v>
      </c>
      <c r="R31" s="107" t="s">
        <v>17</v>
      </c>
      <c r="S31" s="107" t="s">
        <v>18</v>
      </c>
      <c r="T31" s="107" t="s">
        <v>19</v>
      </c>
      <c r="U31" s="108" t="s">
        <v>20</v>
      </c>
      <c r="V31" s="107" t="s">
        <v>21</v>
      </c>
      <c r="W31" s="107" t="s">
        <v>22</v>
      </c>
      <c r="X31" s="107" t="s">
        <v>23</v>
      </c>
      <c r="Y31" s="109" t="s">
        <v>24</v>
      </c>
      <c r="Z31" s="107" t="s">
        <v>25</v>
      </c>
      <c r="AA31" s="107" t="s">
        <v>26</v>
      </c>
      <c r="AB31" s="107" t="s">
        <v>27</v>
      </c>
      <c r="AC31" s="107" t="s">
        <v>28</v>
      </c>
      <c r="AD31" s="107" t="s">
        <v>29</v>
      </c>
      <c r="AE31" s="108" t="s">
        <v>30</v>
      </c>
      <c r="AF31" s="107" t="s">
        <v>31</v>
      </c>
      <c r="AG31" s="107" t="s">
        <v>32</v>
      </c>
      <c r="AH31" s="107" t="s">
        <v>33</v>
      </c>
      <c r="AI31" s="107" t="s">
        <v>34</v>
      </c>
      <c r="AJ31" s="107" t="s">
        <v>35</v>
      </c>
      <c r="AK31" s="107" t="s">
        <v>36</v>
      </c>
      <c r="AL31" s="107" t="s">
        <v>37</v>
      </c>
      <c r="AM31" s="107" t="s">
        <v>38</v>
      </c>
      <c r="AN31" s="107" t="s">
        <v>39</v>
      </c>
      <c r="AO31" s="107" t="s">
        <v>40</v>
      </c>
      <c r="AP31" s="107" t="s">
        <v>41</v>
      </c>
      <c r="AQ31" s="107" t="s">
        <v>42</v>
      </c>
      <c r="AR31" s="107" t="s">
        <v>43</v>
      </c>
      <c r="AS31" s="107" t="s">
        <v>53</v>
      </c>
      <c r="AT31" s="107" t="s">
        <v>331</v>
      </c>
      <c r="AU31" s="107" t="s">
        <v>332</v>
      </c>
      <c r="AV31" s="107" t="s">
        <v>333</v>
      </c>
      <c r="AW31" s="107" t="s">
        <v>334</v>
      </c>
      <c r="AX31" s="107" t="s">
        <v>335</v>
      </c>
      <c r="AY31" s="107" t="s">
        <v>336</v>
      </c>
      <c r="AZ31" s="107" t="s">
        <v>337</v>
      </c>
      <c r="BA31" s="107" t="s">
        <v>338</v>
      </c>
      <c r="BB31" s="107" t="s">
        <v>339</v>
      </c>
      <c r="BC31" s="589" t="s">
        <v>340</v>
      </c>
    </row>
    <row r="32" spans="2:89" s="2" customFormat="1" ht="15" customHeight="1">
      <c r="B32" s="27" t="s">
        <v>162</v>
      </c>
      <c r="C32" s="90">
        <f>'2.  Scheme Wide'!E17</f>
        <v>5.2999999999999999E-2</v>
      </c>
      <c r="D32" s="528">
        <f>SUM(F32:CK32)</f>
        <v>119.56967034547117</v>
      </c>
      <c r="E32" s="96"/>
      <c r="F32" s="91">
        <f>F29*$C$32</f>
        <v>0</v>
      </c>
      <c r="G32" s="91">
        <f t="shared" ref="G32:AS32" si="7">G29*$C$32</f>
        <v>3.513850636126791E-4</v>
      </c>
      <c r="H32" s="91">
        <f t="shared" si="7"/>
        <v>0</v>
      </c>
      <c r="I32" s="91">
        <f t="shared" si="7"/>
        <v>0</v>
      </c>
      <c r="J32" s="91">
        <f t="shared" si="7"/>
        <v>0</v>
      </c>
      <c r="K32" s="91">
        <f t="shared" si="7"/>
        <v>0</v>
      </c>
      <c r="L32" s="91">
        <f t="shared" si="7"/>
        <v>0</v>
      </c>
      <c r="M32" s="91">
        <f t="shared" si="7"/>
        <v>0</v>
      </c>
      <c r="N32" s="91">
        <f t="shared" si="7"/>
        <v>0</v>
      </c>
      <c r="O32" s="91">
        <f t="shared" si="7"/>
        <v>0</v>
      </c>
      <c r="P32" s="91">
        <f t="shared" si="7"/>
        <v>0</v>
      </c>
      <c r="Q32" s="91">
        <f t="shared" si="7"/>
        <v>0</v>
      </c>
      <c r="R32" s="91">
        <f t="shared" si="7"/>
        <v>0</v>
      </c>
      <c r="S32" s="91">
        <f t="shared" si="7"/>
        <v>0.9630181941805297</v>
      </c>
      <c r="T32" s="91">
        <f t="shared" si="7"/>
        <v>1.6482593895112867</v>
      </c>
      <c r="U32" s="91">
        <f t="shared" si="7"/>
        <v>1.6482593895112867</v>
      </c>
      <c r="V32" s="91">
        <f t="shared" si="7"/>
        <v>1.6482593895112867</v>
      </c>
      <c r="W32" s="91">
        <f t="shared" si="7"/>
        <v>1.7829166759434478</v>
      </c>
      <c r="X32" s="91">
        <f t="shared" si="7"/>
        <v>1.6482593895112867</v>
      </c>
      <c r="Y32" s="91">
        <f t="shared" si="7"/>
        <v>1.6482593895112867</v>
      </c>
      <c r="Z32" s="91">
        <f t="shared" si="7"/>
        <v>1.6482593895112867</v>
      </c>
      <c r="AA32" s="91">
        <f t="shared" si="7"/>
        <v>2.3089217010690759</v>
      </c>
      <c r="AB32" s="91">
        <f t="shared" si="7"/>
        <v>1.6482593895112867</v>
      </c>
      <c r="AC32" s="91">
        <f t="shared" si="7"/>
        <v>1.6482593895112867</v>
      </c>
      <c r="AD32" s="91">
        <f t="shared" si="7"/>
        <v>1.6482593895112867</v>
      </c>
      <c r="AE32" s="91">
        <f t="shared" si="7"/>
        <v>1.7829166759434478</v>
      </c>
      <c r="AF32" s="91">
        <f t="shared" si="7"/>
        <v>1.6482593895112867</v>
      </c>
      <c r="AG32" s="91">
        <f t="shared" si="7"/>
        <v>1.6482593895112867</v>
      </c>
      <c r="AH32" s="91">
        <f t="shared" si="7"/>
        <v>1.6482593895112867</v>
      </c>
      <c r="AI32" s="91">
        <f t="shared" si="7"/>
        <v>1.7829166759434478</v>
      </c>
      <c r="AJ32" s="91">
        <f t="shared" si="7"/>
        <v>1.6482593895112867</v>
      </c>
      <c r="AK32" s="91">
        <f t="shared" si="7"/>
        <v>1.6482593895112867</v>
      </c>
      <c r="AL32" s="91">
        <f t="shared" si="7"/>
        <v>1.6482593895112867</v>
      </c>
      <c r="AM32" s="91">
        <f t="shared" si="7"/>
        <v>1.7829166759434478</v>
      </c>
      <c r="AN32" s="91">
        <f t="shared" si="7"/>
        <v>1.6482593895112867</v>
      </c>
      <c r="AO32" s="91">
        <f t="shared" si="7"/>
        <v>1.6482593895112867</v>
      </c>
      <c r="AP32" s="91">
        <f t="shared" si="7"/>
        <v>1.6482593895112867</v>
      </c>
      <c r="AQ32" s="91">
        <f t="shared" si="7"/>
        <v>2.3089217010690759</v>
      </c>
      <c r="AR32" s="91">
        <f t="shared" si="7"/>
        <v>1.6482593895112867</v>
      </c>
      <c r="AS32" s="91">
        <f t="shared" si="7"/>
        <v>1.6482593895112867</v>
      </c>
      <c r="AT32" s="91">
        <f t="shared" ref="AT32:BC32" si="8">AT29*$C$32</f>
        <v>1.6482593895112867</v>
      </c>
      <c r="AU32" s="91">
        <f t="shared" si="8"/>
        <v>1.7829166759434478</v>
      </c>
      <c r="AV32" s="91">
        <f t="shared" si="8"/>
        <v>1.6482593895112867</v>
      </c>
      <c r="AW32" s="91">
        <f t="shared" si="8"/>
        <v>1.6482593895112867</v>
      </c>
      <c r="AX32" s="91">
        <f t="shared" si="8"/>
        <v>1.6482593895112867</v>
      </c>
      <c r="AY32" s="91">
        <f t="shared" si="8"/>
        <v>1.7829166759434478</v>
      </c>
      <c r="AZ32" s="91">
        <f t="shared" si="8"/>
        <v>1.6482593895112867</v>
      </c>
      <c r="BA32" s="91">
        <f t="shared" si="8"/>
        <v>1.6482593895112867</v>
      </c>
      <c r="BB32" s="91">
        <f t="shared" si="8"/>
        <v>1.6482593895112867</v>
      </c>
      <c r="BC32" s="591">
        <f t="shared" si="8"/>
        <v>1.7955407965464625</v>
      </c>
      <c r="BD32" s="91">
        <f t="shared" ref="BD32:CK32" si="9">BD29*$C$32</f>
        <v>1.6482593895112867</v>
      </c>
      <c r="BE32" s="91">
        <f t="shared" si="9"/>
        <v>1.6482593895112867</v>
      </c>
      <c r="BF32" s="91">
        <f t="shared" si="9"/>
        <v>1.6482593895112867</v>
      </c>
      <c r="BG32" s="91">
        <f t="shared" si="9"/>
        <v>1.7745005955414375</v>
      </c>
      <c r="BH32" s="91">
        <f t="shared" si="9"/>
        <v>1.6482593895112867</v>
      </c>
      <c r="BI32" s="91">
        <f t="shared" si="9"/>
        <v>1.6482593895112867</v>
      </c>
      <c r="BJ32" s="91">
        <f t="shared" si="9"/>
        <v>1.6482593895112867</v>
      </c>
      <c r="BK32" s="91">
        <f t="shared" si="9"/>
        <v>2.1742644146369146</v>
      </c>
      <c r="BL32" s="91">
        <f t="shared" si="9"/>
        <v>1.6482593895112867</v>
      </c>
      <c r="BM32" s="91">
        <f t="shared" si="9"/>
        <v>1.6482593895112867</v>
      </c>
      <c r="BN32" s="91">
        <f t="shared" si="9"/>
        <v>1.6482593895112867</v>
      </c>
      <c r="BO32" s="91">
        <f t="shared" si="9"/>
        <v>1.7745005955414375</v>
      </c>
      <c r="BP32" s="91">
        <f t="shared" si="9"/>
        <v>1.6482593895112867</v>
      </c>
      <c r="BQ32" s="91">
        <f t="shared" si="9"/>
        <v>1.6482593895112867</v>
      </c>
      <c r="BR32" s="91">
        <f t="shared" si="9"/>
        <v>1.6482593895112867</v>
      </c>
      <c r="BS32" s="91">
        <f t="shared" si="9"/>
        <v>1.7745005955414375</v>
      </c>
      <c r="BT32" s="91">
        <f t="shared" si="9"/>
        <v>1.6482593895112867</v>
      </c>
      <c r="BU32" s="91">
        <f t="shared" si="9"/>
        <v>1.6482593895112867</v>
      </c>
      <c r="BV32" s="91">
        <f t="shared" si="9"/>
        <v>1.6482593895112867</v>
      </c>
      <c r="BW32" s="91">
        <f t="shared" si="9"/>
        <v>1.7745005955414375</v>
      </c>
      <c r="BX32" s="91">
        <f t="shared" si="9"/>
        <v>1.6482593895112867</v>
      </c>
      <c r="BY32" s="91">
        <f t="shared" si="9"/>
        <v>1.6482593895112867</v>
      </c>
      <c r="BZ32" s="91">
        <f t="shared" si="9"/>
        <v>1.6482593895112867</v>
      </c>
      <c r="CA32" s="91">
        <f t="shared" si="9"/>
        <v>1.7745005955414375</v>
      </c>
      <c r="CB32" s="91">
        <f t="shared" si="9"/>
        <v>1.6482593895112867</v>
      </c>
      <c r="CC32" s="91">
        <f t="shared" si="9"/>
        <v>1.6482593895112867</v>
      </c>
      <c r="CD32" s="91">
        <f t="shared" si="9"/>
        <v>1.6482593895112867</v>
      </c>
      <c r="CE32" s="91">
        <f t="shared" si="9"/>
        <v>2.1532242136318898</v>
      </c>
      <c r="CF32" s="91">
        <f t="shared" si="9"/>
        <v>1.6482593895112867</v>
      </c>
      <c r="CG32" s="91">
        <f t="shared" si="9"/>
        <v>1.6482593895112867</v>
      </c>
      <c r="CH32" s="91">
        <f t="shared" si="9"/>
        <v>1.6482593895112867</v>
      </c>
      <c r="CI32" s="91">
        <f t="shared" si="9"/>
        <v>1.7745005955414375</v>
      </c>
      <c r="CJ32" s="91">
        <f t="shared" si="9"/>
        <v>1.639796963525836</v>
      </c>
      <c r="CK32" s="91">
        <f t="shared" si="9"/>
        <v>0.81989848176291802</v>
      </c>
    </row>
    <row r="33" spans="2:89" s="2" customFormat="1" ht="15" customHeight="1">
      <c r="B33" s="13" t="s">
        <v>98</v>
      </c>
      <c r="C33" s="90">
        <f>'2.  Scheme Wide'!E18</f>
        <v>0.01</v>
      </c>
      <c r="D33" s="528">
        <f>SUM(F33:CK33)</f>
        <v>22.560315159522901</v>
      </c>
      <c r="E33" s="96"/>
      <c r="F33" s="91">
        <f>F29*$C$33</f>
        <v>0</v>
      </c>
      <c r="G33" s="91">
        <f t="shared" ref="G33:AS33" si="10">G29*$C$33</f>
        <v>6.629906860616587E-5</v>
      </c>
      <c r="H33" s="91">
        <f t="shared" si="10"/>
        <v>0</v>
      </c>
      <c r="I33" s="91">
        <f t="shared" si="10"/>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0.18170154607179809</v>
      </c>
      <c r="T33" s="91">
        <f t="shared" si="10"/>
        <v>0.31099233764363904</v>
      </c>
      <c r="U33" s="91">
        <f t="shared" si="10"/>
        <v>0.31099233764363904</v>
      </c>
      <c r="V33" s="91">
        <f t="shared" si="10"/>
        <v>0.31099233764363904</v>
      </c>
      <c r="W33" s="91">
        <f t="shared" si="10"/>
        <v>0.33639937281951843</v>
      </c>
      <c r="X33" s="91">
        <f t="shared" si="10"/>
        <v>0.31099233764363904</v>
      </c>
      <c r="Y33" s="91">
        <f t="shared" si="10"/>
        <v>0.31099233764363904</v>
      </c>
      <c r="Z33" s="91">
        <f t="shared" si="10"/>
        <v>0.31099233764363904</v>
      </c>
      <c r="AA33" s="91">
        <f t="shared" si="10"/>
        <v>0.43564560397529734</v>
      </c>
      <c r="AB33" s="91">
        <f t="shared" si="10"/>
        <v>0.31099233764363904</v>
      </c>
      <c r="AC33" s="91">
        <f t="shared" si="10"/>
        <v>0.31099233764363904</v>
      </c>
      <c r="AD33" s="91">
        <f t="shared" si="10"/>
        <v>0.31099233764363904</v>
      </c>
      <c r="AE33" s="91">
        <f t="shared" si="10"/>
        <v>0.33639937281951843</v>
      </c>
      <c r="AF33" s="91">
        <f t="shared" si="10"/>
        <v>0.31099233764363904</v>
      </c>
      <c r="AG33" s="91">
        <f t="shared" si="10"/>
        <v>0.31099233764363904</v>
      </c>
      <c r="AH33" s="91">
        <f t="shared" si="10"/>
        <v>0.31099233764363904</v>
      </c>
      <c r="AI33" s="91">
        <f t="shared" si="10"/>
        <v>0.33639937281951843</v>
      </c>
      <c r="AJ33" s="91">
        <f t="shared" si="10"/>
        <v>0.31099233764363904</v>
      </c>
      <c r="AK33" s="91">
        <f t="shared" si="10"/>
        <v>0.31099233764363904</v>
      </c>
      <c r="AL33" s="91">
        <f t="shared" si="10"/>
        <v>0.31099233764363904</v>
      </c>
      <c r="AM33" s="91">
        <f t="shared" si="10"/>
        <v>0.33639937281951843</v>
      </c>
      <c r="AN33" s="91">
        <f t="shared" si="10"/>
        <v>0.31099233764363904</v>
      </c>
      <c r="AO33" s="91">
        <f t="shared" si="10"/>
        <v>0.31099233764363904</v>
      </c>
      <c r="AP33" s="91">
        <f t="shared" si="10"/>
        <v>0.31099233764363904</v>
      </c>
      <c r="AQ33" s="91">
        <f t="shared" si="10"/>
        <v>0.43564560397529734</v>
      </c>
      <c r="AR33" s="91">
        <f t="shared" si="10"/>
        <v>0.31099233764363904</v>
      </c>
      <c r="AS33" s="91">
        <f t="shared" si="10"/>
        <v>0.31099233764363904</v>
      </c>
      <c r="AT33" s="91">
        <f t="shared" ref="AT33:BC33" si="11">AT29*$C$33</f>
        <v>0.31099233764363904</v>
      </c>
      <c r="AU33" s="91">
        <f t="shared" si="11"/>
        <v>0.33639937281951843</v>
      </c>
      <c r="AV33" s="91">
        <f t="shared" si="11"/>
        <v>0.31099233764363904</v>
      </c>
      <c r="AW33" s="91">
        <f t="shared" si="11"/>
        <v>0.31099233764363904</v>
      </c>
      <c r="AX33" s="91">
        <f t="shared" si="11"/>
        <v>0.31099233764363904</v>
      </c>
      <c r="AY33" s="91">
        <f t="shared" si="11"/>
        <v>0.33639937281951843</v>
      </c>
      <c r="AZ33" s="91">
        <f t="shared" si="11"/>
        <v>0.31099233764363904</v>
      </c>
      <c r="BA33" s="91">
        <f t="shared" si="11"/>
        <v>0.31099233764363904</v>
      </c>
      <c r="BB33" s="91">
        <f t="shared" si="11"/>
        <v>0.31099233764363904</v>
      </c>
      <c r="BC33" s="591">
        <f t="shared" si="11"/>
        <v>0.33878128236725708</v>
      </c>
      <c r="BD33" s="91">
        <f t="shared" ref="BD33:CK33" si="12">BD29*$C$33</f>
        <v>0.31099233764363904</v>
      </c>
      <c r="BE33" s="91">
        <f t="shared" si="12"/>
        <v>0.31099233764363904</v>
      </c>
      <c r="BF33" s="91">
        <f t="shared" si="12"/>
        <v>0.31099233764363904</v>
      </c>
      <c r="BG33" s="91">
        <f t="shared" si="12"/>
        <v>0.33481143312102596</v>
      </c>
      <c r="BH33" s="91">
        <f t="shared" si="12"/>
        <v>0.31099233764363904</v>
      </c>
      <c r="BI33" s="91">
        <f t="shared" si="12"/>
        <v>0.31099233764363904</v>
      </c>
      <c r="BJ33" s="91">
        <f t="shared" si="12"/>
        <v>0.31099233764363904</v>
      </c>
      <c r="BK33" s="91">
        <f t="shared" si="12"/>
        <v>0.41023856879941789</v>
      </c>
      <c r="BL33" s="91">
        <f t="shared" si="12"/>
        <v>0.31099233764363904</v>
      </c>
      <c r="BM33" s="91">
        <f t="shared" si="12"/>
        <v>0.31099233764363904</v>
      </c>
      <c r="BN33" s="91">
        <f t="shared" si="12"/>
        <v>0.31099233764363904</v>
      </c>
      <c r="BO33" s="91">
        <f t="shared" si="12"/>
        <v>0.33481143312102596</v>
      </c>
      <c r="BP33" s="91">
        <f t="shared" si="12"/>
        <v>0.31099233764363904</v>
      </c>
      <c r="BQ33" s="91">
        <f t="shared" si="12"/>
        <v>0.31099233764363904</v>
      </c>
      <c r="BR33" s="91">
        <f t="shared" si="12"/>
        <v>0.31099233764363904</v>
      </c>
      <c r="BS33" s="91">
        <f t="shared" si="12"/>
        <v>0.33481143312102596</v>
      </c>
      <c r="BT33" s="91">
        <f t="shared" si="12"/>
        <v>0.31099233764363904</v>
      </c>
      <c r="BU33" s="91">
        <f t="shared" si="12"/>
        <v>0.31099233764363904</v>
      </c>
      <c r="BV33" s="91">
        <f t="shared" si="12"/>
        <v>0.31099233764363904</v>
      </c>
      <c r="BW33" s="91">
        <f t="shared" si="12"/>
        <v>0.33481143312102596</v>
      </c>
      <c r="BX33" s="91">
        <f t="shared" si="12"/>
        <v>0.31099233764363904</v>
      </c>
      <c r="BY33" s="91">
        <f t="shared" si="12"/>
        <v>0.31099233764363904</v>
      </c>
      <c r="BZ33" s="91">
        <f t="shared" si="12"/>
        <v>0.31099233764363904</v>
      </c>
      <c r="CA33" s="91">
        <f t="shared" si="12"/>
        <v>0.33481143312102596</v>
      </c>
      <c r="CB33" s="91">
        <f t="shared" si="12"/>
        <v>0.31099233764363904</v>
      </c>
      <c r="CC33" s="91">
        <f t="shared" si="12"/>
        <v>0.31099233764363904</v>
      </c>
      <c r="CD33" s="91">
        <f t="shared" si="12"/>
        <v>0.31099233764363904</v>
      </c>
      <c r="CE33" s="91">
        <f t="shared" si="12"/>
        <v>0.40626871955318677</v>
      </c>
      <c r="CF33" s="91">
        <f t="shared" si="12"/>
        <v>0.31099233764363904</v>
      </c>
      <c r="CG33" s="91">
        <f t="shared" si="12"/>
        <v>0.31099233764363904</v>
      </c>
      <c r="CH33" s="91">
        <f t="shared" si="12"/>
        <v>0.31099233764363904</v>
      </c>
      <c r="CI33" s="91">
        <f t="shared" si="12"/>
        <v>0.33481143312102596</v>
      </c>
      <c r="CJ33" s="91">
        <f t="shared" si="12"/>
        <v>0.30939565349544074</v>
      </c>
      <c r="CK33" s="91">
        <f t="shared" si="12"/>
        <v>0.15469782674772037</v>
      </c>
    </row>
    <row r="34" spans="2:89" s="2" customFormat="1" ht="15" customHeight="1">
      <c r="B34" s="39" t="s">
        <v>99</v>
      </c>
      <c r="C34" s="126">
        <f>'2.  Scheme Wide'!E19</f>
        <v>5.0000000000000001E-3</v>
      </c>
      <c r="D34" s="528">
        <f>SUM(F34:CK34)</f>
        <v>11.28015757976145</v>
      </c>
      <c r="E34" s="96"/>
      <c r="F34" s="91">
        <f>F29*$C$34</f>
        <v>0</v>
      </c>
      <c r="G34" s="91">
        <f t="shared" ref="G34:AS34" si="13">G29*$C$34</f>
        <v>3.3149534303082935E-5</v>
      </c>
      <c r="H34" s="91">
        <f t="shared" si="13"/>
        <v>0</v>
      </c>
      <c r="I34" s="91">
        <f t="shared" si="13"/>
        <v>0</v>
      </c>
      <c r="J34" s="91">
        <f t="shared" si="13"/>
        <v>0</v>
      </c>
      <c r="K34" s="91">
        <f t="shared" si="13"/>
        <v>0</v>
      </c>
      <c r="L34" s="91">
        <f t="shared" si="13"/>
        <v>0</v>
      </c>
      <c r="M34" s="91">
        <f t="shared" si="13"/>
        <v>0</v>
      </c>
      <c r="N34" s="91">
        <f t="shared" si="13"/>
        <v>0</v>
      </c>
      <c r="O34" s="91">
        <f t="shared" si="13"/>
        <v>0</v>
      </c>
      <c r="P34" s="91">
        <f t="shared" si="13"/>
        <v>0</v>
      </c>
      <c r="Q34" s="91">
        <f t="shared" si="13"/>
        <v>0</v>
      </c>
      <c r="R34" s="91">
        <f t="shared" si="13"/>
        <v>0</v>
      </c>
      <c r="S34" s="91">
        <f t="shared" si="13"/>
        <v>9.0850773035899043E-2</v>
      </c>
      <c r="T34" s="91">
        <f t="shared" si="13"/>
        <v>0.15549616882181952</v>
      </c>
      <c r="U34" s="91">
        <f t="shared" si="13"/>
        <v>0.15549616882181952</v>
      </c>
      <c r="V34" s="91">
        <f t="shared" si="13"/>
        <v>0.15549616882181952</v>
      </c>
      <c r="W34" s="91">
        <f t="shared" si="13"/>
        <v>0.16819968640975921</v>
      </c>
      <c r="X34" s="91">
        <f t="shared" si="13"/>
        <v>0.15549616882181952</v>
      </c>
      <c r="Y34" s="91">
        <f t="shared" si="13"/>
        <v>0.15549616882181952</v>
      </c>
      <c r="Z34" s="91">
        <f t="shared" si="13"/>
        <v>0.15549616882181952</v>
      </c>
      <c r="AA34" s="91">
        <f t="shared" si="13"/>
        <v>0.21782280198764867</v>
      </c>
      <c r="AB34" s="91">
        <f t="shared" si="13"/>
        <v>0.15549616882181952</v>
      </c>
      <c r="AC34" s="91">
        <f t="shared" si="13"/>
        <v>0.15549616882181952</v>
      </c>
      <c r="AD34" s="91">
        <f t="shared" si="13"/>
        <v>0.15549616882181952</v>
      </c>
      <c r="AE34" s="91">
        <f t="shared" si="13"/>
        <v>0.16819968640975921</v>
      </c>
      <c r="AF34" s="91">
        <f t="shared" si="13"/>
        <v>0.15549616882181952</v>
      </c>
      <c r="AG34" s="91">
        <f t="shared" si="13"/>
        <v>0.15549616882181952</v>
      </c>
      <c r="AH34" s="91">
        <f t="shared" si="13"/>
        <v>0.15549616882181952</v>
      </c>
      <c r="AI34" s="91">
        <f t="shared" si="13"/>
        <v>0.16819968640975921</v>
      </c>
      <c r="AJ34" s="91">
        <f t="shared" si="13"/>
        <v>0.15549616882181952</v>
      </c>
      <c r="AK34" s="91">
        <f t="shared" si="13"/>
        <v>0.15549616882181952</v>
      </c>
      <c r="AL34" s="91">
        <f t="shared" si="13"/>
        <v>0.15549616882181952</v>
      </c>
      <c r="AM34" s="91">
        <f t="shared" si="13"/>
        <v>0.16819968640975921</v>
      </c>
      <c r="AN34" s="91">
        <f t="shared" si="13"/>
        <v>0.15549616882181952</v>
      </c>
      <c r="AO34" s="91">
        <f t="shared" si="13"/>
        <v>0.15549616882181952</v>
      </c>
      <c r="AP34" s="91">
        <f t="shared" si="13"/>
        <v>0.15549616882181952</v>
      </c>
      <c r="AQ34" s="91">
        <f t="shared" si="13"/>
        <v>0.21782280198764867</v>
      </c>
      <c r="AR34" s="91">
        <f t="shared" si="13"/>
        <v>0.15549616882181952</v>
      </c>
      <c r="AS34" s="91">
        <f t="shared" si="13"/>
        <v>0.15549616882181952</v>
      </c>
      <c r="AT34" s="91">
        <f t="shared" ref="AT34:BC34" si="14">AT29*$C$34</f>
        <v>0.15549616882181952</v>
      </c>
      <c r="AU34" s="91">
        <f t="shared" si="14"/>
        <v>0.16819968640975921</v>
      </c>
      <c r="AV34" s="91">
        <f t="shared" si="14"/>
        <v>0.15549616882181952</v>
      </c>
      <c r="AW34" s="91">
        <f t="shared" si="14"/>
        <v>0.15549616882181952</v>
      </c>
      <c r="AX34" s="91">
        <f t="shared" si="14"/>
        <v>0.15549616882181952</v>
      </c>
      <c r="AY34" s="91">
        <f t="shared" si="14"/>
        <v>0.16819968640975921</v>
      </c>
      <c r="AZ34" s="91">
        <f t="shared" si="14"/>
        <v>0.15549616882181952</v>
      </c>
      <c r="BA34" s="91">
        <f t="shared" si="14"/>
        <v>0.15549616882181952</v>
      </c>
      <c r="BB34" s="91">
        <f t="shared" si="14"/>
        <v>0.15549616882181952</v>
      </c>
      <c r="BC34" s="591">
        <f t="shared" si="14"/>
        <v>0.16939064118362854</v>
      </c>
      <c r="BD34" s="91">
        <f t="shared" ref="BD34:CK34" si="15">BD29*$C$34</f>
        <v>0.15549616882181952</v>
      </c>
      <c r="BE34" s="91">
        <f t="shared" si="15"/>
        <v>0.15549616882181952</v>
      </c>
      <c r="BF34" s="91">
        <f t="shared" si="15"/>
        <v>0.15549616882181952</v>
      </c>
      <c r="BG34" s="91">
        <f t="shared" si="15"/>
        <v>0.16740571656051298</v>
      </c>
      <c r="BH34" s="91">
        <f t="shared" si="15"/>
        <v>0.15549616882181952</v>
      </c>
      <c r="BI34" s="91">
        <f t="shared" si="15"/>
        <v>0.15549616882181952</v>
      </c>
      <c r="BJ34" s="91">
        <f t="shared" si="15"/>
        <v>0.15549616882181952</v>
      </c>
      <c r="BK34" s="91">
        <f t="shared" si="15"/>
        <v>0.20511928439970895</v>
      </c>
      <c r="BL34" s="91">
        <f t="shared" si="15"/>
        <v>0.15549616882181952</v>
      </c>
      <c r="BM34" s="91">
        <f t="shared" si="15"/>
        <v>0.15549616882181952</v>
      </c>
      <c r="BN34" s="91">
        <f t="shared" si="15"/>
        <v>0.15549616882181952</v>
      </c>
      <c r="BO34" s="91">
        <f t="shared" si="15"/>
        <v>0.16740571656051298</v>
      </c>
      <c r="BP34" s="91">
        <f t="shared" si="15"/>
        <v>0.15549616882181952</v>
      </c>
      <c r="BQ34" s="91">
        <f t="shared" si="15"/>
        <v>0.15549616882181952</v>
      </c>
      <c r="BR34" s="91">
        <f t="shared" si="15"/>
        <v>0.15549616882181952</v>
      </c>
      <c r="BS34" s="91">
        <f t="shared" si="15"/>
        <v>0.16740571656051298</v>
      </c>
      <c r="BT34" s="91">
        <f t="shared" si="15"/>
        <v>0.15549616882181952</v>
      </c>
      <c r="BU34" s="91">
        <f t="shared" si="15"/>
        <v>0.15549616882181952</v>
      </c>
      <c r="BV34" s="91">
        <f t="shared" si="15"/>
        <v>0.15549616882181952</v>
      </c>
      <c r="BW34" s="91">
        <f t="shared" si="15"/>
        <v>0.16740571656051298</v>
      </c>
      <c r="BX34" s="91">
        <f t="shared" si="15"/>
        <v>0.15549616882181952</v>
      </c>
      <c r="BY34" s="91">
        <f t="shared" si="15"/>
        <v>0.15549616882181952</v>
      </c>
      <c r="BZ34" s="91">
        <f t="shared" si="15"/>
        <v>0.15549616882181952</v>
      </c>
      <c r="CA34" s="91">
        <f t="shared" si="15"/>
        <v>0.16740571656051298</v>
      </c>
      <c r="CB34" s="91">
        <f t="shared" si="15"/>
        <v>0.15549616882181952</v>
      </c>
      <c r="CC34" s="91">
        <f t="shared" si="15"/>
        <v>0.15549616882181952</v>
      </c>
      <c r="CD34" s="91">
        <f t="shared" si="15"/>
        <v>0.15549616882181952</v>
      </c>
      <c r="CE34" s="91">
        <f t="shared" si="15"/>
        <v>0.20313435977659339</v>
      </c>
      <c r="CF34" s="91">
        <f t="shared" si="15"/>
        <v>0.15549616882181952</v>
      </c>
      <c r="CG34" s="91">
        <f t="shared" si="15"/>
        <v>0.15549616882181952</v>
      </c>
      <c r="CH34" s="91">
        <f t="shared" si="15"/>
        <v>0.15549616882181952</v>
      </c>
      <c r="CI34" s="91">
        <f t="shared" si="15"/>
        <v>0.16740571656051298</v>
      </c>
      <c r="CJ34" s="91">
        <f t="shared" si="15"/>
        <v>0.15469782674772037</v>
      </c>
      <c r="CK34" s="91">
        <f t="shared" si="15"/>
        <v>7.7348913373860184E-2</v>
      </c>
    </row>
    <row r="35" spans="2:89" s="2" customFormat="1" ht="15" customHeight="1">
      <c r="B35" s="13" t="s">
        <v>110</v>
      </c>
      <c r="C35" s="127"/>
      <c r="D35" s="528">
        <f>SUM(F35:CK35)</f>
        <v>153.41014308475559</v>
      </c>
      <c r="E35" s="95"/>
      <c r="F35" s="91">
        <f>SUM(F32:F34)</f>
        <v>0</v>
      </c>
      <c r="G35" s="91">
        <f>SUM(G32:G34)</f>
        <v>4.5083366652192791E-4</v>
      </c>
      <c r="H35" s="91">
        <f t="shared" ref="H35:AS35" si="16">SUM(H32:H34)</f>
        <v>0</v>
      </c>
      <c r="I35" s="91">
        <f t="shared" si="16"/>
        <v>0</v>
      </c>
      <c r="J35" s="91">
        <f t="shared" si="16"/>
        <v>0</v>
      </c>
      <c r="K35" s="91">
        <f t="shared" si="16"/>
        <v>0</v>
      </c>
      <c r="L35" s="91">
        <f t="shared" si="16"/>
        <v>0</v>
      </c>
      <c r="M35" s="91">
        <f t="shared" si="16"/>
        <v>0</v>
      </c>
      <c r="N35" s="91">
        <f t="shared" si="16"/>
        <v>0</v>
      </c>
      <c r="O35" s="91">
        <f t="shared" si="16"/>
        <v>0</v>
      </c>
      <c r="P35" s="91">
        <f t="shared" si="16"/>
        <v>0</v>
      </c>
      <c r="Q35" s="91">
        <f t="shared" si="16"/>
        <v>0</v>
      </c>
      <c r="R35" s="91">
        <f t="shared" si="16"/>
        <v>0</v>
      </c>
      <c r="S35" s="91">
        <f t="shared" si="16"/>
        <v>1.2355705132882266</v>
      </c>
      <c r="T35" s="91">
        <f t="shared" si="16"/>
        <v>2.1147478959767452</v>
      </c>
      <c r="U35" s="91">
        <f t="shared" si="16"/>
        <v>2.1147478959767452</v>
      </c>
      <c r="V35" s="91">
        <f t="shared" si="16"/>
        <v>2.1147478959767452</v>
      </c>
      <c r="W35" s="91">
        <f t="shared" si="16"/>
        <v>2.2875157351727253</v>
      </c>
      <c r="X35" s="91">
        <f t="shared" si="16"/>
        <v>2.1147478959767452</v>
      </c>
      <c r="Y35" s="91">
        <f t="shared" si="16"/>
        <v>2.1147478959767452</v>
      </c>
      <c r="Z35" s="91">
        <f t="shared" si="16"/>
        <v>2.1147478959767452</v>
      </c>
      <c r="AA35" s="91">
        <f t="shared" si="16"/>
        <v>2.962390107032022</v>
      </c>
      <c r="AB35" s="91">
        <f t="shared" si="16"/>
        <v>2.1147478959767452</v>
      </c>
      <c r="AC35" s="91">
        <f t="shared" si="16"/>
        <v>2.1147478959767452</v>
      </c>
      <c r="AD35" s="91">
        <f t="shared" si="16"/>
        <v>2.1147478959767452</v>
      </c>
      <c r="AE35" s="91">
        <f t="shared" si="16"/>
        <v>2.2875157351727253</v>
      </c>
      <c r="AF35" s="91">
        <f t="shared" si="16"/>
        <v>2.1147478959767452</v>
      </c>
      <c r="AG35" s="91">
        <f t="shared" si="16"/>
        <v>2.1147478959767452</v>
      </c>
      <c r="AH35" s="91">
        <f t="shared" si="16"/>
        <v>2.1147478959767452</v>
      </c>
      <c r="AI35" s="91">
        <f t="shared" si="16"/>
        <v>2.2875157351727253</v>
      </c>
      <c r="AJ35" s="91">
        <f t="shared" si="16"/>
        <v>2.1147478959767452</v>
      </c>
      <c r="AK35" s="91">
        <f t="shared" si="16"/>
        <v>2.1147478959767452</v>
      </c>
      <c r="AL35" s="91">
        <f t="shared" si="16"/>
        <v>2.1147478959767452</v>
      </c>
      <c r="AM35" s="91">
        <f t="shared" si="16"/>
        <v>2.2875157351727253</v>
      </c>
      <c r="AN35" s="91">
        <f t="shared" si="16"/>
        <v>2.1147478959767452</v>
      </c>
      <c r="AO35" s="91">
        <f t="shared" si="16"/>
        <v>2.1147478959767452</v>
      </c>
      <c r="AP35" s="91">
        <f t="shared" si="16"/>
        <v>2.1147478959767452</v>
      </c>
      <c r="AQ35" s="91">
        <f t="shared" si="16"/>
        <v>2.962390107032022</v>
      </c>
      <c r="AR35" s="91">
        <f t="shared" si="16"/>
        <v>2.1147478959767452</v>
      </c>
      <c r="AS35" s="91">
        <f t="shared" si="16"/>
        <v>2.1147478959767452</v>
      </c>
      <c r="AT35" s="91">
        <f t="shared" ref="AT35:BC35" si="17">SUM(AT32:AT34)</f>
        <v>2.1147478959767452</v>
      </c>
      <c r="AU35" s="91">
        <f t="shared" si="17"/>
        <v>2.2875157351727253</v>
      </c>
      <c r="AV35" s="91">
        <f t="shared" si="17"/>
        <v>2.1147478959767452</v>
      </c>
      <c r="AW35" s="91">
        <f t="shared" si="17"/>
        <v>2.1147478959767452</v>
      </c>
      <c r="AX35" s="91">
        <f t="shared" si="17"/>
        <v>2.1147478959767452</v>
      </c>
      <c r="AY35" s="91">
        <f t="shared" si="17"/>
        <v>2.2875157351727253</v>
      </c>
      <c r="AZ35" s="91">
        <f t="shared" si="17"/>
        <v>2.1147478959767452</v>
      </c>
      <c r="BA35" s="91">
        <f t="shared" si="17"/>
        <v>2.1147478959767452</v>
      </c>
      <c r="BB35" s="91">
        <f t="shared" si="17"/>
        <v>2.1147478959767452</v>
      </c>
      <c r="BC35" s="591">
        <f t="shared" si="17"/>
        <v>2.303712720097348</v>
      </c>
      <c r="BD35" s="91">
        <f t="shared" ref="BD35:CK35" si="18">SUM(BD32:BD34)</f>
        <v>2.1147478959767452</v>
      </c>
      <c r="BE35" s="91">
        <f t="shared" si="18"/>
        <v>2.1147478959767452</v>
      </c>
      <c r="BF35" s="91">
        <f t="shared" si="18"/>
        <v>2.1147478959767452</v>
      </c>
      <c r="BG35" s="91">
        <f t="shared" si="18"/>
        <v>2.2767177452229768</v>
      </c>
      <c r="BH35" s="91">
        <f t="shared" si="18"/>
        <v>2.1147478959767452</v>
      </c>
      <c r="BI35" s="91">
        <f t="shared" si="18"/>
        <v>2.1147478959767452</v>
      </c>
      <c r="BJ35" s="91">
        <f t="shared" si="18"/>
        <v>2.1147478959767452</v>
      </c>
      <c r="BK35" s="91">
        <f t="shared" si="18"/>
        <v>2.7896222678360414</v>
      </c>
      <c r="BL35" s="91">
        <f t="shared" si="18"/>
        <v>2.1147478959767452</v>
      </c>
      <c r="BM35" s="91">
        <f t="shared" si="18"/>
        <v>2.1147478959767452</v>
      </c>
      <c r="BN35" s="91">
        <f t="shared" si="18"/>
        <v>2.1147478959767452</v>
      </c>
      <c r="BO35" s="91">
        <f t="shared" si="18"/>
        <v>2.2767177452229768</v>
      </c>
      <c r="BP35" s="91">
        <f t="shared" si="18"/>
        <v>2.1147478959767452</v>
      </c>
      <c r="BQ35" s="91">
        <f t="shared" si="18"/>
        <v>2.1147478959767452</v>
      </c>
      <c r="BR35" s="91">
        <f t="shared" si="18"/>
        <v>2.1147478959767452</v>
      </c>
      <c r="BS35" s="91">
        <f t="shared" si="18"/>
        <v>2.2767177452229768</v>
      </c>
      <c r="BT35" s="91">
        <f t="shared" si="18"/>
        <v>2.1147478959767452</v>
      </c>
      <c r="BU35" s="91">
        <f t="shared" si="18"/>
        <v>2.1147478959767452</v>
      </c>
      <c r="BV35" s="91">
        <f t="shared" si="18"/>
        <v>2.1147478959767452</v>
      </c>
      <c r="BW35" s="91">
        <f t="shared" si="18"/>
        <v>2.2767177452229768</v>
      </c>
      <c r="BX35" s="91">
        <f t="shared" si="18"/>
        <v>2.1147478959767452</v>
      </c>
      <c r="BY35" s="91">
        <f t="shared" si="18"/>
        <v>2.1147478959767452</v>
      </c>
      <c r="BZ35" s="91">
        <f t="shared" si="18"/>
        <v>2.1147478959767452</v>
      </c>
      <c r="CA35" s="91">
        <f t="shared" si="18"/>
        <v>2.2767177452229768</v>
      </c>
      <c r="CB35" s="91">
        <f t="shared" si="18"/>
        <v>2.1147478959767452</v>
      </c>
      <c r="CC35" s="91">
        <f t="shared" si="18"/>
        <v>2.1147478959767452</v>
      </c>
      <c r="CD35" s="91">
        <f t="shared" si="18"/>
        <v>2.1147478959767452</v>
      </c>
      <c r="CE35" s="91">
        <f t="shared" si="18"/>
        <v>2.7626272929616698</v>
      </c>
      <c r="CF35" s="91">
        <f t="shared" si="18"/>
        <v>2.1147478959767452</v>
      </c>
      <c r="CG35" s="91">
        <f t="shared" si="18"/>
        <v>2.1147478959767452</v>
      </c>
      <c r="CH35" s="91">
        <f t="shared" si="18"/>
        <v>2.1147478959767452</v>
      </c>
      <c r="CI35" s="91">
        <f t="shared" si="18"/>
        <v>2.2767177452229768</v>
      </c>
      <c r="CJ35" s="91">
        <f t="shared" si="18"/>
        <v>2.1038904437689974</v>
      </c>
      <c r="CK35" s="91">
        <f t="shared" si="18"/>
        <v>1.0519452218844987</v>
      </c>
    </row>
    <row r="36" spans="2:89" ht="15" customHeight="1">
      <c r="D36" s="531"/>
      <c r="E36" s="9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312"/>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row>
    <row r="37" spans="2:89" s="105" customFormat="1" ht="15" customHeight="1">
      <c r="B37" s="129" t="s">
        <v>657</v>
      </c>
      <c r="C37" s="130"/>
      <c r="D37" s="532">
        <f>SUM(F37:CK37)</f>
        <v>2102.6213728675302</v>
      </c>
      <c r="E37" s="106"/>
      <c r="F37" s="131">
        <f>F29-F35</f>
        <v>0</v>
      </c>
      <c r="G37" s="131">
        <f>G29-G35</f>
        <v>6.179073194094659E-3</v>
      </c>
      <c r="H37" s="131">
        <f t="shared" ref="H37:AS37" si="19">H29-H35</f>
        <v>0</v>
      </c>
      <c r="I37" s="131">
        <f t="shared" si="19"/>
        <v>0</v>
      </c>
      <c r="J37" s="131">
        <f t="shared" si="19"/>
        <v>0</v>
      </c>
      <c r="K37" s="131">
        <f t="shared" si="19"/>
        <v>0</v>
      </c>
      <c r="L37" s="131">
        <f t="shared" si="19"/>
        <v>0</v>
      </c>
      <c r="M37" s="131">
        <f t="shared" si="19"/>
        <v>0</v>
      </c>
      <c r="N37" s="131">
        <f t="shared" si="19"/>
        <v>0</v>
      </c>
      <c r="O37" s="131">
        <f t="shared" si="19"/>
        <v>0</v>
      </c>
      <c r="P37" s="131">
        <f t="shared" si="19"/>
        <v>0</v>
      </c>
      <c r="Q37" s="131">
        <f t="shared" si="19"/>
        <v>0</v>
      </c>
      <c r="R37" s="131">
        <f t="shared" si="19"/>
        <v>0</v>
      </c>
      <c r="S37" s="131">
        <f t="shared" si="19"/>
        <v>16.93458409389158</v>
      </c>
      <c r="T37" s="131">
        <f t="shared" si="19"/>
        <v>28.984485868387157</v>
      </c>
      <c r="U37" s="131">
        <f t="shared" si="19"/>
        <v>28.984485868387157</v>
      </c>
      <c r="V37" s="131">
        <f t="shared" si="19"/>
        <v>28.984485868387157</v>
      </c>
      <c r="W37" s="131">
        <f t="shared" si="19"/>
        <v>31.352421546779119</v>
      </c>
      <c r="X37" s="131">
        <f t="shared" si="19"/>
        <v>28.984485868387157</v>
      </c>
      <c r="Y37" s="131">
        <f t="shared" si="19"/>
        <v>28.984485868387157</v>
      </c>
      <c r="Z37" s="131">
        <f t="shared" si="19"/>
        <v>28.984485868387157</v>
      </c>
      <c r="AA37" s="131">
        <f t="shared" si="19"/>
        <v>40.60217029049771</v>
      </c>
      <c r="AB37" s="131">
        <f t="shared" si="19"/>
        <v>28.984485868387157</v>
      </c>
      <c r="AC37" s="131">
        <f t="shared" si="19"/>
        <v>28.984485868387157</v>
      </c>
      <c r="AD37" s="131">
        <f t="shared" si="19"/>
        <v>28.984485868387157</v>
      </c>
      <c r="AE37" s="131">
        <f t="shared" si="19"/>
        <v>31.352421546779119</v>
      </c>
      <c r="AF37" s="131">
        <f t="shared" si="19"/>
        <v>28.984485868387157</v>
      </c>
      <c r="AG37" s="131">
        <f t="shared" si="19"/>
        <v>28.984485868387157</v>
      </c>
      <c r="AH37" s="131">
        <f t="shared" si="19"/>
        <v>28.984485868387157</v>
      </c>
      <c r="AI37" s="131">
        <f t="shared" si="19"/>
        <v>31.352421546779119</v>
      </c>
      <c r="AJ37" s="131">
        <f t="shared" si="19"/>
        <v>28.984485868387157</v>
      </c>
      <c r="AK37" s="131">
        <f t="shared" si="19"/>
        <v>28.984485868387157</v>
      </c>
      <c r="AL37" s="131">
        <f t="shared" si="19"/>
        <v>28.984485868387157</v>
      </c>
      <c r="AM37" s="131">
        <f t="shared" si="19"/>
        <v>31.352421546779119</v>
      </c>
      <c r="AN37" s="131">
        <f t="shared" si="19"/>
        <v>28.984485868387157</v>
      </c>
      <c r="AO37" s="131">
        <f t="shared" si="19"/>
        <v>28.984485868387157</v>
      </c>
      <c r="AP37" s="131">
        <f t="shared" si="19"/>
        <v>28.984485868387157</v>
      </c>
      <c r="AQ37" s="131">
        <f t="shared" si="19"/>
        <v>40.60217029049771</v>
      </c>
      <c r="AR37" s="131">
        <f t="shared" si="19"/>
        <v>28.984485868387157</v>
      </c>
      <c r="AS37" s="131">
        <f t="shared" si="19"/>
        <v>28.984485868387157</v>
      </c>
      <c r="AT37" s="131">
        <f t="shared" ref="AT37:BC37" si="20">AT29-AT35</f>
        <v>28.984485868387157</v>
      </c>
      <c r="AU37" s="131">
        <f t="shared" si="20"/>
        <v>31.352421546779119</v>
      </c>
      <c r="AV37" s="131">
        <f t="shared" si="20"/>
        <v>28.984485868387157</v>
      </c>
      <c r="AW37" s="131">
        <f t="shared" si="20"/>
        <v>28.984485868387157</v>
      </c>
      <c r="AX37" s="131">
        <f t="shared" si="20"/>
        <v>28.984485868387157</v>
      </c>
      <c r="AY37" s="131">
        <f t="shared" si="20"/>
        <v>31.352421546779119</v>
      </c>
      <c r="AZ37" s="131">
        <f t="shared" si="20"/>
        <v>28.984485868387157</v>
      </c>
      <c r="BA37" s="131">
        <f t="shared" si="20"/>
        <v>28.984485868387157</v>
      </c>
      <c r="BB37" s="131">
        <f t="shared" si="20"/>
        <v>28.984485868387157</v>
      </c>
      <c r="BC37" s="592">
        <f t="shared" si="20"/>
        <v>31.57441551662836</v>
      </c>
      <c r="BD37" s="131">
        <f t="shared" ref="BD37:CJ37" si="21">BD29-BD35</f>
        <v>28.984485868387157</v>
      </c>
      <c r="BE37" s="131">
        <f t="shared" si="21"/>
        <v>28.984485868387157</v>
      </c>
      <c r="BF37" s="131">
        <f t="shared" si="21"/>
        <v>28.984485868387157</v>
      </c>
      <c r="BG37" s="131">
        <f t="shared" si="21"/>
        <v>31.204425566879618</v>
      </c>
      <c r="BH37" s="131">
        <f t="shared" si="21"/>
        <v>28.984485868387157</v>
      </c>
      <c r="BI37" s="131">
        <f t="shared" si="21"/>
        <v>28.984485868387157</v>
      </c>
      <c r="BJ37" s="131">
        <f t="shared" si="21"/>
        <v>28.984485868387157</v>
      </c>
      <c r="BK37" s="131">
        <f t="shared" si="21"/>
        <v>38.234234612105745</v>
      </c>
      <c r="BL37" s="131">
        <f t="shared" si="21"/>
        <v>28.984485868387157</v>
      </c>
      <c r="BM37" s="131">
        <f t="shared" si="21"/>
        <v>28.984485868387157</v>
      </c>
      <c r="BN37" s="131">
        <f t="shared" si="21"/>
        <v>28.984485868387157</v>
      </c>
      <c r="BO37" s="131">
        <f t="shared" si="21"/>
        <v>31.204425566879618</v>
      </c>
      <c r="BP37" s="131">
        <f t="shared" si="21"/>
        <v>28.984485868387157</v>
      </c>
      <c r="BQ37" s="131">
        <f t="shared" si="21"/>
        <v>28.984485868387157</v>
      </c>
      <c r="BR37" s="131">
        <f t="shared" si="21"/>
        <v>28.984485868387157</v>
      </c>
      <c r="BS37" s="131">
        <f t="shared" si="21"/>
        <v>31.204425566879618</v>
      </c>
      <c r="BT37" s="131">
        <f t="shared" si="21"/>
        <v>28.984485868387157</v>
      </c>
      <c r="BU37" s="131">
        <f t="shared" si="21"/>
        <v>28.984485868387157</v>
      </c>
      <c r="BV37" s="131">
        <f t="shared" si="21"/>
        <v>28.984485868387157</v>
      </c>
      <c r="BW37" s="131">
        <f t="shared" si="21"/>
        <v>31.204425566879618</v>
      </c>
      <c r="BX37" s="131">
        <f t="shared" si="21"/>
        <v>28.984485868387157</v>
      </c>
      <c r="BY37" s="131">
        <f t="shared" si="21"/>
        <v>28.984485868387157</v>
      </c>
      <c r="BZ37" s="131">
        <f t="shared" si="21"/>
        <v>28.984485868387157</v>
      </c>
      <c r="CA37" s="131">
        <f t="shared" si="21"/>
        <v>31.204425566879618</v>
      </c>
      <c r="CB37" s="131">
        <f t="shared" si="21"/>
        <v>28.984485868387157</v>
      </c>
      <c r="CC37" s="131">
        <f t="shared" si="21"/>
        <v>28.984485868387157</v>
      </c>
      <c r="CD37" s="131">
        <f t="shared" si="21"/>
        <v>28.984485868387157</v>
      </c>
      <c r="CE37" s="131">
        <f t="shared" si="21"/>
        <v>37.864244662357009</v>
      </c>
      <c r="CF37" s="131">
        <f t="shared" si="21"/>
        <v>28.984485868387157</v>
      </c>
      <c r="CG37" s="131">
        <f t="shared" si="21"/>
        <v>28.984485868387157</v>
      </c>
      <c r="CH37" s="131">
        <f t="shared" si="21"/>
        <v>28.984485868387157</v>
      </c>
      <c r="CI37" s="131">
        <f t="shared" si="21"/>
        <v>31.204425566879618</v>
      </c>
      <c r="CJ37" s="131">
        <f t="shared" si="21"/>
        <v>28.835674905775079</v>
      </c>
      <c r="CK37" s="661">
        <f>CK29-CK35</f>
        <v>14.417837452887539</v>
      </c>
    </row>
    <row r="38" spans="2:89" s="105" customFormat="1" ht="15" customHeight="1">
      <c r="B38" s="524"/>
      <c r="C38" s="525"/>
      <c r="D38" s="526"/>
      <c r="E38" s="106"/>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7"/>
      <c r="AH38" s="527"/>
      <c r="AI38" s="527"/>
      <c r="AJ38" s="527"/>
      <c r="AK38" s="527"/>
      <c r="AL38" s="527"/>
      <c r="AM38" s="527"/>
      <c r="AN38" s="527"/>
      <c r="AO38" s="527"/>
      <c r="AP38" s="527"/>
      <c r="AQ38" s="527"/>
      <c r="AR38" s="527"/>
      <c r="AS38" s="527"/>
      <c r="AT38" s="527"/>
      <c r="AU38" s="527"/>
      <c r="AV38" s="527"/>
      <c r="AW38" s="527"/>
      <c r="AX38" s="527"/>
      <c r="AY38" s="527"/>
      <c r="AZ38" s="527"/>
      <c r="BA38" s="527"/>
      <c r="BB38" s="527"/>
      <c r="BC38" s="593"/>
      <c r="BD38" s="527"/>
      <c r="BE38" s="527"/>
      <c r="BF38" s="527"/>
      <c r="BG38" s="527"/>
      <c r="BH38" s="527"/>
      <c r="BI38" s="527"/>
      <c r="BJ38" s="527"/>
      <c r="BK38" s="527"/>
      <c r="BL38" s="527"/>
      <c r="BM38" s="527"/>
      <c r="BN38" s="527"/>
      <c r="BO38" s="527"/>
      <c r="BP38" s="527"/>
      <c r="BQ38" s="527"/>
      <c r="BR38" s="527"/>
      <c r="BS38" s="527"/>
      <c r="BT38" s="527"/>
      <c r="BU38" s="527"/>
      <c r="BV38" s="527"/>
      <c r="BW38" s="527"/>
      <c r="BX38" s="527"/>
      <c r="BY38" s="527"/>
      <c r="BZ38" s="527"/>
      <c r="CA38" s="527"/>
      <c r="CB38" s="527"/>
      <c r="CC38" s="527"/>
      <c r="CD38" s="527"/>
      <c r="CE38" s="527"/>
      <c r="CF38" s="527"/>
      <c r="CG38" s="527"/>
      <c r="CH38" s="527"/>
      <c r="CI38" s="527"/>
      <c r="CJ38" s="527"/>
      <c r="CK38" s="527"/>
    </row>
    <row r="39" spans="2:89" s="105" customFormat="1" ht="15" customHeight="1">
      <c r="B39" s="524"/>
      <c r="C39" s="525"/>
      <c r="D39" s="526"/>
      <c r="E39" s="106"/>
      <c r="F39" s="527"/>
      <c r="G39" s="527"/>
      <c r="H39" s="527"/>
      <c r="I39" s="527"/>
      <c r="J39" s="527"/>
      <c r="K39" s="527"/>
      <c r="L39" s="527"/>
      <c r="M39" s="527"/>
      <c r="N39" s="527"/>
      <c r="O39" s="527"/>
      <c r="P39" s="527"/>
      <c r="Q39" s="527"/>
      <c r="R39" s="527"/>
      <c r="S39" s="527"/>
      <c r="T39" s="527"/>
      <c r="U39" s="660"/>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527"/>
      <c r="AV39" s="527"/>
      <c r="AW39" s="527"/>
      <c r="AX39" s="527"/>
      <c r="AY39" s="527"/>
      <c r="AZ39" s="527"/>
      <c r="BA39" s="527"/>
      <c r="BB39" s="527"/>
      <c r="BC39" s="593"/>
      <c r="BD39" s="527"/>
      <c r="BE39" s="527"/>
      <c r="BF39" s="527"/>
      <c r="BG39" s="527"/>
      <c r="BH39" s="527"/>
      <c r="BI39" s="527"/>
      <c r="BJ39" s="527"/>
      <c r="BK39" s="527"/>
      <c r="BL39" s="527"/>
      <c r="BM39" s="527"/>
      <c r="BN39" s="527"/>
      <c r="BO39" s="527"/>
      <c r="BP39" s="527"/>
      <c r="BQ39" s="527"/>
      <c r="BR39" s="527"/>
      <c r="BS39" s="527"/>
      <c r="BT39" s="527"/>
      <c r="BU39" s="527"/>
      <c r="BV39" s="527"/>
      <c r="BW39" s="527"/>
      <c r="BX39" s="527"/>
      <c r="BY39" s="527"/>
      <c r="BZ39" s="527"/>
      <c r="CA39" s="527"/>
      <c r="CB39" s="527"/>
      <c r="CC39" s="527"/>
      <c r="CD39" s="527"/>
      <c r="CE39" s="527"/>
      <c r="CF39" s="527"/>
      <c r="CG39" s="527"/>
      <c r="CH39" s="527"/>
      <c r="CI39" s="527"/>
      <c r="CJ39" s="527"/>
      <c r="CK39" s="527"/>
    </row>
    <row r="40" spans="2:89" s="2" customFormat="1" ht="15" customHeight="1">
      <c r="C40" s="6"/>
      <c r="D40" s="57"/>
      <c r="E40" s="9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312"/>
    </row>
    <row r="41" spans="2:89" s="1" customFormat="1" ht="15" customHeight="1">
      <c r="B41" s="173" t="s">
        <v>630</v>
      </c>
      <c r="C41" s="30"/>
      <c r="D41" s="30"/>
      <c r="E41" s="93"/>
      <c r="F41" s="63"/>
      <c r="G41" s="63">
        <v>2017</v>
      </c>
      <c r="H41" s="63">
        <v>2018</v>
      </c>
      <c r="I41" s="63">
        <v>2019</v>
      </c>
      <c r="J41" s="63">
        <v>2020</v>
      </c>
      <c r="K41" s="63">
        <v>2021</v>
      </c>
      <c r="L41" s="63">
        <v>2022</v>
      </c>
      <c r="M41" s="63">
        <v>2023</v>
      </c>
      <c r="N41" s="63">
        <v>2024</v>
      </c>
      <c r="O41" s="63">
        <v>2025</v>
      </c>
      <c r="P41" s="63">
        <v>2026</v>
      </c>
      <c r="Q41" s="63">
        <v>2027</v>
      </c>
      <c r="R41" s="63">
        <v>2028</v>
      </c>
      <c r="S41" s="63">
        <v>2029</v>
      </c>
      <c r="T41" s="63">
        <v>2030</v>
      </c>
      <c r="U41" s="63">
        <v>2031</v>
      </c>
      <c r="V41" s="63">
        <v>2032</v>
      </c>
      <c r="W41" s="63">
        <v>2033</v>
      </c>
      <c r="X41" s="63">
        <v>2034</v>
      </c>
      <c r="Y41" s="63">
        <v>2035</v>
      </c>
      <c r="Z41" s="63">
        <v>2036</v>
      </c>
      <c r="AA41" s="63">
        <v>2037</v>
      </c>
      <c r="AB41" s="63">
        <v>2038</v>
      </c>
      <c r="AC41" s="63">
        <v>2039</v>
      </c>
      <c r="AD41" s="63">
        <v>2040</v>
      </c>
      <c r="AE41" s="63">
        <v>2041</v>
      </c>
      <c r="AF41" s="63">
        <v>2042</v>
      </c>
      <c r="AG41" s="63">
        <v>2043</v>
      </c>
      <c r="AH41" s="63">
        <v>2044</v>
      </c>
      <c r="AI41" s="63">
        <v>2045</v>
      </c>
      <c r="AJ41" s="63">
        <v>2046</v>
      </c>
      <c r="AK41" s="63">
        <v>2047</v>
      </c>
      <c r="AL41" s="63">
        <v>2048</v>
      </c>
      <c r="AM41" s="63">
        <v>2049</v>
      </c>
      <c r="AN41" s="63">
        <v>2050</v>
      </c>
      <c r="AO41" s="63">
        <v>2051</v>
      </c>
      <c r="AP41" s="63">
        <v>2052</v>
      </c>
      <c r="AQ41" s="63">
        <v>2053</v>
      </c>
      <c r="AR41" s="63">
        <v>2054</v>
      </c>
      <c r="AS41" s="63">
        <v>2055</v>
      </c>
      <c r="AT41" s="63">
        <v>2056</v>
      </c>
      <c r="AU41" s="63">
        <v>2057</v>
      </c>
      <c r="AV41" s="63">
        <v>2058</v>
      </c>
      <c r="AW41" s="63">
        <v>2059</v>
      </c>
      <c r="AX41" s="63">
        <v>2060</v>
      </c>
      <c r="AY41" s="63">
        <v>2061</v>
      </c>
      <c r="AZ41" s="63">
        <v>2062</v>
      </c>
      <c r="BA41" s="63">
        <v>2063</v>
      </c>
      <c r="BB41" s="63">
        <v>2064</v>
      </c>
      <c r="BC41" s="569">
        <v>2065</v>
      </c>
      <c r="BD41" s="63">
        <v>2066</v>
      </c>
      <c r="BE41" s="63">
        <v>2067</v>
      </c>
      <c r="BF41" s="63">
        <v>2068</v>
      </c>
      <c r="BG41" s="63">
        <v>2069</v>
      </c>
      <c r="BH41" s="63">
        <v>2070</v>
      </c>
      <c r="BI41" s="63">
        <v>2071</v>
      </c>
      <c r="BJ41" s="63">
        <v>2072</v>
      </c>
      <c r="BK41" s="63">
        <v>2073</v>
      </c>
      <c r="BL41" s="63">
        <v>2074</v>
      </c>
      <c r="BM41" s="63">
        <v>2075</v>
      </c>
      <c r="BN41" s="63">
        <v>2076</v>
      </c>
      <c r="BO41" s="63">
        <v>2077</v>
      </c>
      <c r="BP41" s="63">
        <v>2078</v>
      </c>
      <c r="BQ41" s="63">
        <v>2079</v>
      </c>
      <c r="BR41" s="63">
        <v>2080</v>
      </c>
      <c r="BS41" s="63">
        <v>2081</v>
      </c>
      <c r="BT41" s="63">
        <v>2082</v>
      </c>
      <c r="BU41" s="63">
        <v>2083</v>
      </c>
      <c r="BV41" s="63">
        <v>2084</v>
      </c>
      <c r="BW41" s="63">
        <v>2085</v>
      </c>
      <c r="BX41" s="63">
        <v>2086</v>
      </c>
      <c r="BY41" s="63">
        <v>2087</v>
      </c>
      <c r="BZ41" s="63">
        <v>2088</v>
      </c>
      <c r="CA41" s="63">
        <v>2089</v>
      </c>
      <c r="CB41" s="63">
        <v>2090</v>
      </c>
      <c r="CC41" s="63">
        <v>2091</v>
      </c>
      <c r="CD41" s="63">
        <v>2092</v>
      </c>
      <c r="CE41" s="63">
        <v>2093</v>
      </c>
      <c r="CF41" s="63">
        <v>2094</v>
      </c>
      <c r="CG41" s="63">
        <v>2095</v>
      </c>
      <c r="CH41" s="63">
        <v>2096</v>
      </c>
      <c r="CI41" s="63">
        <v>2097</v>
      </c>
      <c r="CJ41" s="63">
        <v>2098</v>
      </c>
      <c r="CK41" s="63">
        <v>2099</v>
      </c>
    </row>
    <row r="42" spans="2:89" s="388" customFormat="1" ht="15" hidden="1" customHeight="1">
      <c r="B42" s="389" t="s">
        <v>250</v>
      </c>
      <c r="C42" s="390" t="s">
        <v>113</v>
      </c>
      <c r="D42" s="411" t="s">
        <v>4</v>
      </c>
      <c r="E42" s="456"/>
      <c r="F42" s="391" t="s">
        <v>5</v>
      </c>
      <c r="G42" s="391" t="s">
        <v>6</v>
      </c>
      <c r="H42" s="391" t="s">
        <v>7</v>
      </c>
      <c r="I42" s="391" t="s">
        <v>8</v>
      </c>
      <c r="J42" s="391" t="s">
        <v>9</v>
      </c>
      <c r="K42" s="391" t="s">
        <v>10</v>
      </c>
      <c r="L42" s="391" t="s">
        <v>11</v>
      </c>
      <c r="M42" s="391" t="s">
        <v>12</v>
      </c>
      <c r="N42" s="391" t="s">
        <v>13</v>
      </c>
      <c r="O42" s="391" t="s">
        <v>14</v>
      </c>
      <c r="P42" s="391" t="s">
        <v>15</v>
      </c>
      <c r="Q42" s="391" t="s">
        <v>16</v>
      </c>
      <c r="R42" s="391" t="s">
        <v>17</v>
      </c>
      <c r="S42" s="391" t="s">
        <v>18</v>
      </c>
      <c r="T42" s="391" t="s">
        <v>19</v>
      </c>
      <c r="U42" s="457" t="s">
        <v>20</v>
      </c>
      <c r="V42" s="391" t="s">
        <v>21</v>
      </c>
      <c r="W42" s="391" t="s">
        <v>22</v>
      </c>
      <c r="X42" s="391" t="s">
        <v>23</v>
      </c>
      <c r="Y42" s="458" t="s">
        <v>24</v>
      </c>
      <c r="Z42" s="391" t="s">
        <v>25</v>
      </c>
      <c r="AA42" s="391" t="s">
        <v>26</v>
      </c>
      <c r="AB42" s="391" t="s">
        <v>27</v>
      </c>
      <c r="AC42" s="391" t="s">
        <v>28</v>
      </c>
      <c r="AD42" s="391" t="s">
        <v>29</v>
      </c>
      <c r="AE42" s="457" t="s">
        <v>30</v>
      </c>
      <c r="AF42" s="391" t="s">
        <v>31</v>
      </c>
      <c r="AG42" s="391" t="s">
        <v>32</v>
      </c>
      <c r="AH42" s="391" t="s">
        <v>33</v>
      </c>
      <c r="AI42" s="391" t="s">
        <v>34</v>
      </c>
      <c r="AJ42" s="391" t="s">
        <v>35</v>
      </c>
      <c r="AK42" s="391" t="s">
        <v>36</v>
      </c>
      <c r="AL42" s="391" t="s">
        <v>37</v>
      </c>
      <c r="AM42" s="391" t="s">
        <v>38</v>
      </c>
      <c r="AN42" s="391" t="s">
        <v>39</v>
      </c>
      <c r="AO42" s="391" t="s">
        <v>40</v>
      </c>
      <c r="AP42" s="391" t="s">
        <v>41</v>
      </c>
      <c r="AQ42" s="391" t="s">
        <v>42</v>
      </c>
      <c r="AR42" s="391" t="s">
        <v>43</v>
      </c>
      <c r="AS42" s="391" t="s">
        <v>53</v>
      </c>
      <c r="AT42" s="391" t="s">
        <v>331</v>
      </c>
      <c r="AU42" s="391" t="s">
        <v>332</v>
      </c>
      <c r="AV42" s="391" t="s">
        <v>333</v>
      </c>
      <c r="AW42" s="391" t="s">
        <v>334</v>
      </c>
      <c r="AX42" s="391" t="s">
        <v>335</v>
      </c>
      <c r="AY42" s="391" t="s">
        <v>336</v>
      </c>
      <c r="AZ42" s="391" t="s">
        <v>337</v>
      </c>
      <c r="BA42" s="391" t="s">
        <v>338</v>
      </c>
      <c r="BB42" s="391" t="s">
        <v>339</v>
      </c>
      <c r="BC42" s="594" t="s">
        <v>340</v>
      </c>
    </row>
    <row r="43" spans="2:89" s="392" customFormat="1" ht="15" hidden="1" customHeight="1">
      <c r="B43" s="393" t="s">
        <v>282</v>
      </c>
      <c r="C43" s="459">
        <f>'2.  Scheme Wide'!C145</f>
        <v>18571.428571428572</v>
      </c>
      <c r="D43" s="399" t="e">
        <f>SUM(F43:BC43)</f>
        <v>#REF!</v>
      </c>
      <c r="E43" s="460"/>
      <c r="F43" s="461" t="e">
        <f>#REF!</f>
        <v>#REF!</v>
      </c>
      <c r="G43" s="461" t="e">
        <f>#REF!</f>
        <v>#REF!</v>
      </c>
      <c r="H43" s="461" t="e">
        <f>#REF!</f>
        <v>#REF!</v>
      </c>
      <c r="I43" s="461" t="e">
        <f>#REF!</f>
        <v>#REF!</v>
      </c>
      <c r="J43" s="461" t="e">
        <f>#REF!</f>
        <v>#REF!</v>
      </c>
      <c r="K43" s="461" t="e">
        <f>#REF!</f>
        <v>#REF!</v>
      </c>
      <c r="L43" s="461" t="e">
        <f>#REF!</f>
        <v>#REF!</v>
      </c>
      <c r="M43" s="461" t="e">
        <f>#REF!</f>
        <v>#REF!</v>
      </c>
      <c r="N43" s="461" t="e">
        <f>#REF!</f>
        <v>#REF!</v>
      </c>
      <c r="O43" s="461" t="e">
        <f>#REF!</f>
        <v>#REF!</v>
      </c>
      <c r="P43" s="461" t="e">
        <f>#REF!</f>
        <v>#REF!</v>
      </c>
      <c r="Q43" s="461" t="e">
        <f>#REF!</f>
        <v>#REF!</v>
      </c>
      <c r="R43" s="461" t="e">
        <f>#REF!</f>
        <v>#REF!</v>
      </c>
      <c r="S43" s="461" t="e">
        <f>#REF!</f>
        <v>#REF!</v>
      </c>
      <c r="T43" s="461" t="e">
        <f>#REF!</f>
        <v>#REF!</v>
      </c>
      <c r="U43" s="461" t="e">
        <f>#REF!</f>
        <v>#REF!</v>
      </c>
      <c r="V43" s="461" t="e">
        <f>#REF!</f>
        <v>#REF!</v>
      </c>
      <c r="W43" s="461" t="e">
        <f>#REF!</f>
        <v>#REF!</v>
      </c>
      <c r="X43" s="461" t="e">
        <f>#REF!</f>
        <v>#REF!</v>
      </c>
      <c r="Y43" s="461" t="e">
        <f>#REF!</f>
        <v>#REF!</v>
      </c>
      <c r="Z43" s="461" t="e">
        <f>#REF!</f>
        <v>#REF!</v>
      </c>
      <c r="AA43" s="461" t="e">
        <f>#REF!</f>
        <v>#REF!</v>
      </c>
      <c r="AB43" s="461" t="e">
        <f>#REF!</f>
        <v>#REF!</v>
      </c>
      <c r="AC43" s="461" t="e">
        <f>#REF!</f>
        <v>#REF!</v>
      </c>
      <c r="AD43" s="461" t="e">
        <f>#REF!</f>
        <v>#REF!</v>
      </c>
      <c r="AE43" s="461" t="e">
        <f>#REF!</f>
        <v>#REF!</v>
      </c>
      <c r="AF43" s="461" t="e">
        <f>#REF!</f>
        <v>#REF!</v>
      </c>
      <c r="AG43" s="461" t="e">
        <f>#REF!</f>
        <v>#REF!</v>
      </c>
      <c r="AH43" s="461" t="e">
        <f>#REF!</f>
        <v>#REF!</v>
      </c>
      <c r="AI43" s="461" t="e">
        <f>#REF!</f>
        <v>#REF!</v>
      </c>
      <c r="AJ43" s="461" t="e">
        <f>#REF!</f>
        <v>#REF!</v>
      </c>
      <c r="AK43" s="461" t="e">
        <f>#REF!</f>
        <v>#REF!</v>
      </c>
      <c r="AL43" s="461" t="e">
        <f>#REF!</f>
        <v>#REF!</v>
      </c>
      <c r="AM43" s="461" t="e">
        <f>#REF!</f>
        <v>#REF!</v>
      </c>
      <c r="AN43" s="461" t="e">
        <f>#REF!</f>
        <v>#REF!</v>
      </c>
      <c r="AO43" s="461" t="e">
        <f>#REF!</f>
        <v>#REF!</v>
      </c>
      <c r="AP43" s="461" t="e">
        <f>#REF!</f>
        <v>#REF!</v>
      </c>
      <c r="AQ43" s="461" t="e">
        <f>#REF!</f>
        <v>#REF!</v>
      </c>
      <c r="AR43" s="461" t="e">
        <f>#REF!</f>
        <v>#REF!</v>
      </c>
      <c r="AS43" s="461" t="e">
        <f>#REF!</f>
        <v>#REF!</v>
      </c>
      <c r="AT43" s="461" t="e">
        <f>#REF!</f>
        <v>#REF!</v>
      </c>
      <c r="AU43" s="461" t="e">
        <f>#REF!</f>
        <v>#REF!</v>
      </c>
      <c r="AV43" s="461" t="e">
        <f>#REF!</f>
        <v>#REF!</v>
      </c>
      <c r="AW43" s="461" t="e">
        <f>#REF!</f>
        <v>#REF!</v>
      </c>
      <c r="AX43" s="461" t="e">
        <f>#REF!</f>
        <v>#REF!</v>
      </c>
      <c r="AY43" s="461" t="e">
        <f>#REF!</f>
        <v>#REF!</v>
      </c>
      <c r="AZ43" s="461" t="e">
        <f>#REF!</f>
        <v>#REF!</v>
      </c>
      <c r="BA43" s="461" t="e">
        <f>#REF!</f>
        <v>#REF!</v>
      </c>
      <c r="BB43" s="461" t="e">
        <f>#REF!</f>
        <v>#REF!</v>
      </c>
      <c r="BC43" s="595" t="e">
        <f>#REF!</f>
        <v>#REF!</v>
      </c>
    </row>
    <row r="44" spans="2:89" s="392" customFormat="1" ht="15" hidden="1" customHeight="1">
      <c r="B44" s="462" t="s">
        <v>228</v>
      </c>
      <c r="C44" s="463"/>
      <c r="D44" s="411" t="s">
        <v>4</v>
      </c>
      <c r="E44" s="464"/>
      <c r="F44" s="465"/>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7"/>
      <c r="AT44" s="466"/>
      <c r="AU44" s="466"/>
      <c r="AV44" s="466"/>
      <c r="AW44" s="466"/>
      <c r="AX44" s="466"/>
      <c r="AY44" s="466"/>
      <c r="AZ44" s="466"/>
      <c r="BA44" s="466"/>
      <c r="BB44" s="466"/>
      <c r="BC44" s="615"/>
    </row>
    <row r="45" spans="2:89" s="392" customFormat="1" ht="15" hidden="1" customHeight="1">
      <c r="B45" s="400" t="s">
        <v>76</v>
      </c>
      <c r="C45" s="468"/>
      <c r="D45" s="469" t="e">
        <f>SUM(F45:BC45)</f>
        <v>#REF!</v>
      </c>
      <c r="E45" s="460"/>
      <c r="F45" s="470" t="e">
        <f>#REF!</f>
        <v>#REF!</v>
      </c>
      <c r="G45" s="470" t="e">
        <f>#REF!</f>
        <v>#REF!</v>
      </c>
      <c r="H45" s="470" t="e">
        <f>#REF!</f>
        <v>#REF!</v>
      </c>
      <c r="I45" s="470" t="e">
        <f>#REF!</f>
        <v>#REF!</v>
      </c>
      <c r="J45" s="470" t="e">
        <f>#REF!</f>
        <v>#REF!</v>
      </c>
      <c r="K45" s="470" t="e">
        <f>#REF!</f>
        <v>#REF!</v>
      </c>
      <c r="L45" s="470" t="e">
        <f>#REF!</f>
        <v>#REF!</v>
      </c>
      <c r="M45" s="470" t="e">
        <f>#REF!</f>
        <v>#REF!</v>
      </c>
      <c r="N45" s="470" t="e">
        <f>#REF!</f>
        <v>#REF!</v>
      </c>
      <c r="O45" s="470" t="e">
        <f>#REF!</f>
        <v>#REF!</v>
      </c>
      <c r="P45" s="470" t="e">
        <f>#REF!</f>
        <v>#REF!</v>
      </c>
      <c r="Q45" s="470" t="e">
        <f>#REF!</f>
        <v>#REF!</v>
      </c>
      <c r="R45" s="470" t="e">
        <f>#REF!</f>
        <v>#REF!</v>
      </c>
      <c r="S45" s="470" t="e">
        <f>#REF!</f>
        <v>#REF!</v>
      </c>
      <c r="T45" s="470" t="e">
        <f>#REF!</f>
        <v>#REF!</v>
      </c>
      <c r="U45" s="470" t="e">
        <f>#REF!</f>
        <v>#REF!</v>
      </c>
      <c r="V45" s="470" t="e">
        <f>#REF!</f>
        <v>#REF!</v>
      </c>
      <c r="W45" s="470" t="e">
        <f>#REF!</f>
        <v>#REF!</v>
      </c>
      <c r="X45" s="470" t="e">
        <f>#REF!</f>
        <v>#REF!</v>
      </c>
      <c r="Y45" s="470" t="e">
        <f>#REF!</f>
        <v>#REF!</v>
      </c>
      <c r="Z45" s="470" t="e">
        <f>#REF!</f>
        <v>#REF!</v>
      </c>
      <c r="AA45" s="470" t="e">
        <f>#REF!</f>
        <v>#REF!</v>
      </c>
      <c r="AB45" s="470" t="e">
        <f>#REF!</f>
        <v>#REF!</v>
      </c>
      <c r="AC45" s="470" t="e">
        <f>#REF!</f>
        <v>#REF!</v>
      </c>
      <c r="AD45" s="470" t="e">
        <f>#REF!</f>
        <v>#REF!</v>
      </c>
      <c r="AE45" s="470" t="e">
        <f>#REF!</f>
        <v>#REF!</v>
      </c>
      <c r="AF45" s="470" t="e">
        <f>#REF!</f>
        <v>#REF!</v>
      </c>
      <c r="AG45" s="470" t="e">
        <f>#REF!</f>
        <v>#REF!</v>
      </c>
      <c r="AH45" s="470" t="e">
        <f>#REF!</f>
        <v>#REF!</v>
      </c>
      <c r="AI45" s="470" t="e">
        <f>#REF!</f>
        <v>#REF!</v>
      </c>
      <c r="AJ45" s="470" t="e">
        <f>#REF!</f>
        <v>#REF!</v>
      </c>
      <c r="AK45" s="470" t="e">
        <f>#REF!</f>
        <v>#REF!</v>
      </c>
      <c r="AL45" s="470" t="e">
        <f>#REF!</f>
        <v>#REF!</v>
      </c>
      <c r="AM45" s="470" t="e">
        <f>#REF!</f>
        <v>#REF!</v>
      </c>
      <c r="AN45" s="470" t="e">
        <f>#REF!</f>
        <v>#REF!</v>
      </c>
      <c r="AO45" s="470" t="e">
        <f>#REF!</f>
        <v>#REF!</v>
      </c>
      <c r="AP45" s="470" t="e">
        <f>#REF!</f>
        <v>#REF!</v>
      </c>
      <c r="AQ45" s="470" t="e">
        <f>#REF!</f>
        <v>#REF!</v>
      </c>
      <c r="AR45" s="470" t="e">
        <f>#REF!</f>
        <v>#REF!</v>
      </c>
      <c r="AS45" s="470" t="e">
        <f>#REF!</f>
        <v>#REF!</v>
      </c>
      <c r="AT45" s="470" t="e">
        <f>#REF!</f>
        <v>#REF!</v>
      </c>
      <c r="AU45" s="470" t="e">
        <f>#REF!</f>
        <v>#REF!</v>
      </c>
      <c r="AV45" s="470" t="e">
        <f>#REF!</f>
        <v>#REF!</v>
      </c>
      <c r="AW45" s="470" t="e">
        <f>#REF!</f>
        <v>#REF!</v>
      </c>
      <c r="AX45" s="470" t="e">
        <f>#REF!</f>
        <v>#REF!</v>
      </c>
      <c r="AY45" s="470" t="e">
        <f>#REF!</f>
        <v>#REF!</v>
      </c>
      <c r="AZ45" s="470" t="e">
        <f>#REF!</f>
        <v>#REF!</v>
      </c>
      <c r="BA45" s="470" t="e">
        <f>#REF!</f>
        <v>#REF!</v>
      </c>
      <c r="BB45" s="470" t="e">
        <f>#REF!</f>
        <v>#REF!</v>
      </c>
      <c r="BC45" s="596" t="e">
        <f>#REF!</f>
        <v>#REF!</v>
      </c>
    </row>
    <row r="46" spans="2:89" s="392" customFormat="1" ht="15" hidden="1" customHeight="1">
      <c r="B46" s="400" t="s">
        <v>77</v>
      </c>
      <c r="C46" s="468"/>
      <c r="D46" s="469" t="e">
        <f>SUM(F46:BC46)</f>
        <v>#REF!</v>
      </c>
      <c r="E46" s="460"/>
      <c r="F46" s="470" t="e">
        <f>#REF!</f>
        <v>#REF!</v>
      </c>
      <c r="G46" s="470" t="e">
        <f>#REF!</f>
        <v>#REF!</v>
      </c>
      <c r="H46" s="470" t="e">
        <f>#REF!</f>
        <v>#REF!</v>
      </c>
      <c r="I46" s="470" t="e">
        <f>#REF!</f>
        <v>#REF!</v>
      </c>
      <c r="J46" s="470" t="e">
        <f>#REF!</f>
        <v>#REF!</v>
      </c>
      <c r="K46" s="470" t="e">
        <f>#REF!</f>
        <v>#REF!</v>
      </c>
      <c r="L46" s="470" t="e">
        <f>#REF!</f>
        <v>#REF!</v>
      </c>
      <c r="M46" s="470" t="e">
        <f>#REF!</f>
        <v>#REF!</v>
      </c>
      <c r="N46" s="470" t="e">
        <f>#REF!</f>
        <v>#REF!</v>
      </c>
      <c r="O46" s="470" t="e">
        <f>#REF!</f>
        <v>#REF!</v>
      </c>
      <c r="P46" s="470" t="e">
        <f>#REF!</f>
        <v>#REF!</v>
      </c>
      <c r="Q46" s="470" t="e">
        <f>#REF!</f>
        <v>#REF!</v>
      </c>
      <c r="R46" s="470" t="e">
        <f>#REF!</f>
        <v>#REF!</v>
      </c>
      <c r="S46" s="470" t="e">
        <f>#REF!</f>
        <v>#REF!</v>
      </c>
      <c r="T46" s="470" t="e">
        <f>#REF!</f>
        <v>#REF!</v>
      </c>
      <c r="U46" s="470" t="e">
        <f>#REF!</f>
        <v>#REF!</v>
      </c>
      <c r="V46" s="470" t="e">
        <f>#REF!</f>
        <v>#REF!</v>
      </c>
      <c r="W46" s="470" t="e">
        <f>#REF!</f>
        <v>#REF!</v>
      </c>
      <c r="X46" s="470" t="e">
        <f>#REF!</f>
        <v>#REF!</v>
      </c>
      <c r="Y46" s="470" t="e">
        <f>#REF!</f>
        <v>#REF!</v>
      </c>
      <c r="Z46" s="470" t="e">
        <f>#REF!</f>
        <v>#REF!</v>
      </c>
      <c r="AA46" s="470" t="e">
        <f>#REF!</f>
        <v>#REF!</v>
      </c>
      <c r="AB46" s="470" t="e">
        <f>#REF!</f>
        <v>#REF!</v>
      </c>
      <c r="AC46" s="470" t="e">
        <f>#REF!</f>
        <v>#REF!</v>
      </c>
      <c r="AD46" s="470" t="e">
        <f>#REF!</f>
        <v>#REF!</v>
      </c>
      <c r="AE46" s="470" t="e">
        <f>#REF!</f>
        <v>#REF!</v>
      </c>
      <c r="AF46" s="470" t="e">
        <f>#REF!</f>
        <v>#REF!</v>
      </c>
      <c r="AG46" s="470" t="e">
        <f>#REF!</f>
        <v>#REF!</v>
      </c>
      <c r="AH46" s="470" t="e">
        <f>#REF!</f>
        <v>#REF!</v>
      </c>
      <c r="AI46" s="470" t="e">
        <f>#REF!</f>
        <v>#REF!</v>
      </c>
      <c r="AJ46" s="470" t="e">
        <f>#REF!</f>
        <v>#REF!</v>
      </c>
      <c r="AK46" s="470" t="e">
        <f>#REF!</f>
        <v>#REF!</v>
      </c>
      <c r="AL46" s="470" t="e">
        <f>#REF!</f>
        <v>#REF!</v>
      </c>
      <c r="AM46" s="470" t="e">
        <f>#REF!</f>
        <v>#REF!</v>
      </c>
      <c r="AN46" s="470" t="e">
        <f>#REF!</f>
        <v>#REF!</v>
      </c>
      <c r="AO46" s="470" t="e">
        <f>#REF!</f>
        <v>#REF!</v>
      </c>
      <c r="AP46" s="470" t="e">
        <f>#REF!</f>
        <v>#REF!</v>
      </c>
      <c r="AQ46" s="470" t="e">
        <f>#REF!</f>
        <v>#REF!</v>
      </c>
      <c r="AR46" s="470" t="e">
        <f>#REF!</f>
        <v>#REF!</v>
      </c>
      <c r="AS46" s="470" t="e">
        <f>#REF!</f>
        <v>#REF!</v>
      </c>
      <c r="AT46" s="470" t="e">
        <f>#REF!</f>
        <v>#REF!</v>
      </c>
      <c r="AU46" s="470" t="e">
        <f>#REF!</f>
        <v>#REF!</v>
      </c>
      <c r="AV46" s="470" t="e">
        <f>#REF!</f>
        <v>#REF!</v>
      </c>
      <c r="AW46" s="470" t="e">
        <f>#REF!</f>
        <v>#REF!</v>
      </c>
      <c r="AX46" s="470" t="e">
        <f>#REF!</f>
        <v>#REF!</v>
      </c>
      <c r="AY46" s="470" t="e">
        <f>#REF!</f>
        <v>#REF!</v>
      </c>
      <c r="AZ46" s="470" t="e">
        <f>#REF!</f>
        <v>#REF!</v>
      </c>
      <c r="BA46" s="470" t="e">
        <f>#REF!</f>
        <v>#REF!</v>
      </c>
      <c r="BB46" s="470" t="e">
        <f>#REF!</f>
        <v>#REF!</v>
      </c>
      <c r="BC46" s="596" t="e">
        <f>#REF!</f>
        <v>#REF!</v>
      </c>
    </row>
    <row r="47" spans="2:89" s="392" customFormat="1" ht="15" hidden="1" customHeight="1">
      <c r="B47" s="401" t="s">
        <v>94</v>
      </c>
      <c r="C47" s="471"/>
      <c r="D47" s="469" t="e">
        <f>SUM(F47:BC47)</f>
        <v>#REF!</v>
      </c>
      <c r="E47" s="460"/>
      <c r="F47" s="470" t="e">
        <f>#REF!</f>
        <v>#REF!</v>
      </c>
      <c r="G47" s="470" t="e">
        <f>#REF!</f>
        <v>#REF!</v>
      </c>
      <c r="H47" s="470" t="e">
        <f>#REF!</f>
        <v>#REF!</v>
      </c>
      <c r="I47" s="470" t="e">
        <f>#REF!</f>
        <v>#REF!</v>
      </c>
      <c r="J47" s="470" t="e">
        <f>#REF!</f>
        <v>#REF!</v>
      </c>
      <c r="K47" s="470" t="e">
        <f>#REF!</f>
        <v>#REF!</v>
      </c>
      <c r="L47" s="470" t="e">
        <f>#REF!</f>
        <v>#REF!</v>
      </c>
      <c r="M47" s="470" t="e">
        <f>#REF!</f>
        <v>#REF!</v>
      </c>
      <c r="N47" s="470" t="e">
        <f>#REF!</f>
        <v>#REF!</v>
      </c>
      <c r="O47" s="470" t="e">
        <f>#REF!</f>
        <v>#REF!</v>
      </c>
      <c r="P47" s="470" t="e">
        <f>#REF!</f>
        <v>#REF!</v>
      </c>
      <c r="Q47" s="470" t="e">
        <f>#REF!</f>
        <v>#REF!</v>
      </c>
      <c r="R47" s="470" t="e">
        <f>#REF!</f>
        <v>#REF!</v>
      </c>
      <c r="S47" s="470" t="e">
        <f>#REF!</f>
        <v>#REF!</v>
      </c>
      <c r="T47" s="470" t="e">
        <f>#REF!</f>
        <v>#REF!</v>
      </c>
      <c r="U47" s="470" t="e">
        <f>#REF!</f>
        <v>#REF!</v>
      </c>
      <c r="V47" s="470" t="e">
        <f>#REF!</f>
        <v>#REF!</v>
      </c>
      <c r="W47" s="470" t="e">
        <f>#REF!</f>
        <v>#REF!</v>
      </c>
      <c r="X47" s="470" t="e">
        <f>#REF!</f>
        <v>#REF!</v>
      </c>
      <c r="Y47" s="470" t="e">
        <f>#REF!</f>
        <v>#REF!</v>
      </c>
      <c r="Z47" s="470" t="e">
        <f>#REF!</f>
        <v>#REF!</v>
      </c>
      <c r="AA47" s="470" t="e">
        <f>#REF!</f>
        <v>#REF!</v>
      </c>
      <c r="AB47" s="470" t="e">
        <f>#REF!</f>
        <v>#REF!</v>
      </c>
      <c r="AC47" s="470" t="e">
        <f>#REF!</f>
        <v>#REF!</v>
      </c>
      <c r="AD47" s="470" t="e">
        <f>#REF!</f>
        <v>#REF!</v>
      </c>
      <c r="AE47" s="470" t="e">
        <f>#REF!</f>
        <v>#REF!</v>
      </c>
      <c r="AF47" s="470" t="e">
        <f>#REF!</f>
        <v>#REF!</v>
      </c>
      <c r="AG47" s="470" t="e">
        <f>#REF!</f>
        <v>#REF!</v>
      </c>
      <c r="AH47" s="470" t="e">
        <f>#REF!</f>
        <v>#REF!</v>
      </c>
      <c r="AI47" s="470" t="e">
        <f>#REF!</f>
        <v>#REF!</v>
      </c>
      <c r="AJ47" s="470" t="e">
        <f>#REF!</f>
        <v>#REF!</v>
      </c>
      <c r="AK47" s="470" t="e">
        <f>#REF!</f>
        <v>#REF!</v>
      </c>
      <c r="AL47" s="470" t="e">
        <f>#REF!</f>
        <v>#REF!</v>
      </c>
      <c r="AM47" s="470" t="e">
        <f>#REF!</f>
        <v>#REF!</v>
      </c>
      <c r="AN47" s="470" t="e">
        <f>#REF!</f>
        <v>#REF!</v>
      </c>
      <c r="AO47" s="470" t="e">
        <f>#REF!</f>
        <v>#REF!</v>
      </c>
      <c r="AP47" s="470" t="e">
        <f>#REF!</f>
        <v>#REF!</v>
      </c>
      <c r="AQ47" s="470" t="e">
        <f>#REF!</f>
        <v>#REF!</v>
      </c>
      <c r="AR47" s="470" t="e">
        <f>#REF!</f>
        <v>#REF!</v>
      </c>
      <c r="AS47" s="470" t="e">
        <f>#REF!</f>
        <v>#REF!</v>
      </c>
      <c r="AT47" s="470" t="e">
        <f>#REF!</f>
        <v>#REF!</v>
      </c>
      <c r="AU47" s="470" t="e">
        <f>#REF!</f>
        <v>#REF!</v>
      </c>
      <c r="AV47" s="470" t="e">
        <f>#REF!</f>
        <v>#REF!</v>
      </c>
      <c r="AW47" s="470" t="e">
        <f>#REF!</f>
        <v>#REF!</v>
      </c>
      <c r="AX47" s="470" t="e">
        <f>#REF!</f>
        <v>#REF!</v>
      </c>
      <c r="AY47" s="470" t="e">
        <f>#REF!</f>
        <v>#REF!</v>
      </c>
      <c r="AZ47" s="470" t="e">
        <f>#REF!</f>
        <v>#REF!</v>
      </c>
      <c r="BA47" s="470" t="e">
        <f>#REF!</f>
        <v>#REF!</v>
      </c>
      <c r="BB47" s="470" t="e">
        <f>#REF!</f>
        <v>#REF!</v>
      </c>
      <c r="BC47" s="596" t="e">
        <f>#REF!</f>
        <v>#REF!</v>
      </c>
    </row>
    <row r="48" spans="2:89" s="392" customFormat="1" ht="15" hidden="1" customHeight="1">
      <c r="B48" s="472" t="s">
        <v>92</v>
      </c>
      <c r="C48" s="473"/>
      <c r="D48" s="469" t="e">
        <f>SUM(F48:BC48)</f>
        <v>#REF!</v>
      </c>
      <c r="E48" s="460"/>
      <c r="F48" s="470" t="e">
        <f>#REF!</f>
        <v>#REF!</v>
      </c>
      <c r="G48" s="470" t="e">
        <f>#REF!</f>
        <v>#REF!</v>
      </c>
      <c r="H48" s="470" t="e">
        <f>#REF!</f>
        <v>#REF!</v>
      </c>
      <c r="I48" s="470" t="e">
        <f>#REF!</f>
        <v>#REF!</v>
      </c>
      <c r="J48" s="470" t="e">
        <f>#REF!</f>
        <v>#REF!</v>
      </c>
      <c r="K48" s="470" t="e">
        <f>#REF!</f>
        <v>#REF!</v>
      </c>
      <c r="L48" s="470" t="e">
        <f>#REF!</f>
        <v>#REF!</v>
      </c>
      <c r="M48" s="470" t="e">
        <f>#REF!</f>
        <v>#REF!</v>
      </c>
      <c r="N48" s="470" t="e">
        <f>#REF!</f>
        <v>#REF!</v>
      </c>
      <c r="O48" s="470" t="e">
        <f>#REF!</f>
        <v>#REF!</v>
      </c>
      <c r="P48" s="470" t="e">
        <f>#REF!</f>
        <v>#REF!</v>
      </c>
      <c r="Q48" s="470" t="e">
        <f>#REF!</f>
        <v>#REF!</v>
      </c>
      <c r="R48" s="470" t="e">
        <f>#REF!</f>
        <v>#REF!</v>
      </c>
      <c r="S48" s="470" t="e">
        <f>#REF!</f>
        <v>#REF!</v>
      </c>
      <c r="T48" s="470" t="e">
        <f>#REF!</f>
        <v>#REF!</v>
      </c>
      <c r="U48" s="470" t="e">
        <f>#REF!</f>
        <v>#REF!</v>
      </c>
      <c r="V48" s="470" t="e">
        <f>#REF!</f>
        <v>#REF!</v>
      </c>
      <c r="W48" s="470" t="e">
        <f>#REF!</f>
        <v>#REF!</v>
      </c>
      <c r="X48" s="470" t="e">
        <f>#REF!</f>
        <v>#REF!</v>
      </c>
      <c r="Y48" s="470" t="e">
        <f>#REF!</f>
        <v>#REF!</v>
      </c>
      <c r="Z48" s="470" t="e">
        <f>#REF!</f>
        <v>#REF!</v>
      </c>
      <c r="AA48" s="470" t="e">
        <f>#REF!</f>
        <v>#REF!</v>
      </c>
      <c r="AB48" s="470" t="e">
        <f>#REF!</f>
        <v>#REF!</v>
      </c>
      <c r="AC48" s="470" t="e">
        <f>#REF!</f>
        <v>#REF!</v>
      </c>
      <c r="AD48" s="470" t="e">
        <f>#REF!</f>
        <v>#REF!</v>
      </c>
      <c r="AE48" s="470" t="e">
        <f>#REF!</f>
        <v>#REF!</v>
      </c>
      <c r="AF48" s="470" t="e">
        <f>#REF!</f>
        <v>#REF!</v>
      </c>
      <c r="AG48" s="470" t="e">
        <f>#REF!</f>
        <v>#REF!</v>
      </c>
      <c r="AH48" s="470" t="e">
        <f>#REF!</f>
        <v>#REF!</v>
      </c>
      <c r="AI48" s="470" t="e">
        <f>#REF!</f>
        <v>#REF!</v>
      </c>
      <c r="AJ48" s="470" t="e">
        <f>#REF!</f>
        <v>#REF!</v>
      </c>
      <c r="AK48" s="470" t="e">
        <f>#REF!</f>
        <v>#REF!</v>
      </c>
      <c r="AL48" s="470" t="e">
        <f>#REF!</f>
        <v>#REF!</v>
      </c>
      <c r="AM48" s="470" t="e">
        <f>#REF!</f>
        <v>#REF!</v>
      </c>
      <c r="AN48" s="470" t="e">
        <f>#REF!</f>
        <v>#REF!</v>
      </c>
      <c r="AO48" s="470" t="e">
        <f>#REF!</f>
        <v>#REF!</v>
      </c>
      <c r="AP48" s="470" t="e">
        <f>#REF!</f>
        <v>#REF!</v>
      </c>
      <c r="AQ48" s="470" t="e">
        <f>#REF!</f>
        <v>#REF!</v>
      </c>
      <c r="AR48" s="470" t="e">
        <f>#REF!</f>
        <v>#REF!</v>
      </c>
      <c r="AS48" s="470" t="e">
        <f>#REF!</f>
        <v>#REF!</v>
      </c>
      <c r="AT48" s="470" t="e">
        <f>#REF!</f>
        <v>#REF!</v>
      </c>
      <c r="AU48" s="470" t="e">
        <f>#REF!</f>
        <v>#REF!</v>
      </c>
      <c r="AV48" s="470" t="e">
        <f>#REF!</f>
        <v>#REF!</v>
      </c>
      <c r="AW48" s="470" t="e">
        <f>#REF!</f>
        <v>#REF!</v>
      </c>
      <c r="AX48" s="470" t="e">
        <f>#REF!</f>
        <v>#REF!</v>
      </c>
      <c r="AY48" s="470" t="e">
        <f>#REF!</f>
        <v>#REF!</v>
      </c>
      <c r="AZ48" s="470" t="e">
        <f>#REF!</f>
        <v>#REF!</v>
      </c>
      <c r="BA48" s="470" t="e">
        <f>#REF!</f>
        <v>#REF!</v>
      </c>
      <c r="BB48" s="470" t="e">
        <f>#REF!</f>
        <v>#REF!</v>
      </c>
      <c r="BC48" s="596" t="e">
        <f>#REF!</f>
        <v>#REF!</v>
      </c>
    </row>
    <row r="49" spans="2:55" s="392" customFormat="1" ht="15" hidden="1" customHeight="1">
      <c r="B49" s="394" t="s">
        <v>251</v>
      </c>
      <c r="C49" s="474"/>
      <c r="D49" s="411" t="s">
        <v>4</v>
      </c>
      <c r="E49" s="464"/>
      <c r="F49" s="465"/>
      <c r="G49" s="466"/>
      <c r="H49" s="466"/>
      <c r="I49" s="466"/>
      <c r="J49" s="466"/>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6"/>
      <c r="AK49" s="466"/>
      <c r="AL49" s="466"/>
      <c r="AM49" s="466"/>
      <c r="AN49" s="466"/>
      <c r="AO49" s="466"/>
      <c r="AP49" s="466"/>
      <c r="AQ49" s="466"/>
      <c r="AR49" s="466"/>
      <c r="AS49" s="467"/>
      <c r="AT49" s="466"/>
      <c r="AU49" s="466"/>
      <c r="AV49" s="466"/>
      <c r="AW49" s="466"/>
      <c r="AX49" s="466"/>
      <c r="AY49" s="466"/>
      <c r="AZ49" s="466"/>
      <c r="BA49" s="466"/>
      <c r="BB49" s="466"/>
      <c r="BC49" s="615"/>
    </row>
    <row r="50" spans="2:55" s="392" customFormat="1" ht="15" hidden="1" customHeight="1">
      <c r="B50" s="475" t="str">
        <f>'2.  Scheme Wide'!A158</f>
        <v>Country Park Landscaping</v>
      </c>
      <c r="C50" s="473"/>
      <c r="D50" s="476" t="e">
        <f>SUM(F50:BC50)</f>
        <v>#REF!</v>
      </c>
      <c r="E50" s="460"/>
      <c r="F50" s="470" t="e">
        <f>#REF!</f>
        <v>#REF!</v>
      </c>
      <c r="G50" s="470" t="e">
        <f>#REF!</f>
        <v>#REF!</v>
      </c>
      <c r="H50" s="470" t="e">
        <f>#REF!</f>
        <v>#REF!</v>
      </c>
      <c r="I50" s="470" t="e">
        <f>#REF!</f>
        <v>#REF!</v>
      </c>
      <c r="J50" s="470" t="e">
        <f>#REF!</f>
        <v>#REF!</v>
      </c>
      <c r="K50" s="470" t="e">
        <f>#REF!</f>
        <v>#REF!</v>
      </c>
      <c r="L50" s="470" t="e">
        <f>#REF!</f>
        <v>#REF!</v>
      </c>
      <c r="M50" s="470" t="e">
        <f>#REF!</f>
        <v>#REF!</v>
      </c>
      <c r="N50" s="470" t="e">
        <f>#REF!</f>
        <v>#REF!</v>
      </c>
      <c r="O50" s="470" t="e">
        <f>#REF!</f>
        <v>#REF!</v>
      </c>
      <c r="P50" s="470" t="e">
        <f>#REF!</f>
        <v>#REF!</v>
      </c>
      <c r="Q50" s="470" t="e">
        <f>#REF!</f>
        <v>#REF!</v>
      </c>
      <c r="R50" s="470" t="e">
        <f>#REF!</f>
        <v>#REF!</v>
      </c>
      <c r="S50" s="470" t="e">
        <f>#REF!</f>
        <v>#REF!</v>
      </c>
      <c r="T50" s="470" t="e">
        <f>#REF!</f>
        <v>#REF!</v>
      </c>
      <c r="U50" s="470" t="e">
        <f>#REF!</f>
        <v>#REF!</v>
      </c>
      <c r="V50" s="470" t="e">
        <f>#REF!</f>
        <v>#REF!</v>
      </c>
      <c r="W50" s="470" t="e">
        <f>#REF!</f>
        <v>#REF!</v>
      </c>
      <c r="X50" s="470" t="e">
        <f>#REF!</f>
        <v>#REF!</v>
      </c>
      <c r="Y50" s="470" t="e">
        <f>#REF!</f>
        <v>#REF!</v>
      </c>
      <c r="Z50" s="470" t="e">
        <f>#REF!</f>
        <v>#REF!</v>
      </c>
      <c r="AA50" s="470" t="e">
        <f>#REF!</f>
        <v>#REF!</v>
      </c>
      <c r="AB50" s="470" t="e">
        <f>#REF!</f>
        <v>#REF!</v>
      </c>
      <c r="AC50" s="470" t="e">
        <f>#REF!</f>
        <v>#REF!</v>
      </c>
      <c r="AD50" s="470" t="e">
        <f>#REF!</f>
        <v>#REF!</v>
      </c>
      <c r="AE50" s="470" t="e">
        <f>#REF!</f>
        <v>#REF!</v>
      </c>
      <c r="AF50" s="470" t="e">
        <f>#REF!</f>
        <v>#REF!</v>
      </c>
      <c r="AG50" s="470" t="e">
        <f>#REF!</f>
        <v>#REF!</v>
      </c>
      <c r="AH50" s="470" t="e">
        <f>#REF!</f>
        <v>#REF!</v>
      </c>
      <c r="AI50" s="470" t="e">
        <f>#REF!</f>
        <v>#REF!</v>
      </c>
      <c r="AJ50" s="470" t="e">
        <f>#REF!</f>
        <v>#REF!</v>
      </c>
      <c r="AK50" s="470" t="e">
        <f>#REF!</f>
        <v>#REF!</v>
      </c>
      <c r="AL50" s="470" t="e">
        <f>#REF!</f>
        <v>#REF!</v>
      </c>
      <c r="AM50" s="470" t="e">
        <f>#REF!</f>
        <v>#REF!</v>
      </c>
      <c r="AN50" s="470" t="e">
        <f>#REF!</f>
        <v>#REF!</v>
      </c>
      <c r="AO50" s="470" t="e">
        <f>#REF!</f>
        <v>#REF!</v>
      </c>
      <c r="AP50" s="470" t="e">
        <f>#REF!</f>
        <v>#REF!</v>
      </c>
      <c r="AQ50" s="470" t="e">
        <f>#REF!</f>
        <v>#REF!</v>
      </c>
      <c r="AR50" s="470" t="e">
        <f>#REF!</f>
        <v>#REF!</v>
      </c>
      <c r="AS50" s="470" t="e">
        <f>#REF!</f>
        <v>#REF!</v>
      </c>
      <c r="AT50" s="470" t="e">
        <f>#REF!</f>
        <v>#REF!</v>
      </c>
      <c r="AU50" s="470" t="e">
        <f>#REF!</f>
        <v>#REF!</v>
      </c>
      <c r="AV50" s="470" t="e">
        <f>#REF!</f>
        <v>#REF!</v>
      </c>
      <c r="AW50" s="470" t="e">
        <f>#REF!</f>
        <v>#REF!</v>
      </c>
      <c r="AX50" s="470" t="e">
        <f>#REF!</f>
        <v>#REF!</v>
      </c>
      <c r="AY50" s="470" t="e">
        <f>#REF!</f>
        <v>#REF!</v>
      </c>
      <c r="AZ50" s="470" t="e">
        <f>#REF!</f>
        <v>#REF!</v>
      </c>
      <c r="BA50" s="470" t="e">
        <f>#REF!</f>
        <v>#REF!</v>
      </c>
      <c r="BB50" s="470" t="e">
        <f>#REF!</f>
        <v>#REF!</v>
      </c>
      <c r="BC50" s="596" t="e">
        <f>#REF!</f>
        <v>#REF!</v>
      </c>
    </row>
    <row r="51" spans="2:55" s="392" customFormat="1" ht="15" hidden="1" customHeight="1">
      <c r="B51" s="405" t="str">
        <f>'2.  Scheme Wide'!A159</f>
        <v>A3 Actrive modes link Church Lane - Marks Tey Station</v>
      </c>
      <c r="C51" s="468"/>
      <c r="D51" s="476" t="e">
        <f t="shared" ref="D51:D57" si="22">SUM(F51:BC51)</f>
        <v>#REF!</v>
      </c>
      <c r="E51" s="460"/>
      <c r="F51" s="461" t="e">
        <f>#REF!</f>
        <v>#REF!</v>
      </c>
      <c r="G51" s="461" t="e">
        <f>#REF!</f>
        <v>#REF!</v>
      </c>
      <c r="H51" s="461" t="e">
        <f>#REF!</f>
        <v>#REF!</v>
      </c>
      <c r="I51" s="461" t="e">
        <f>#REF!</f>
        <v>#REF!</v>
      </c>
      <c r="J51" s="461" t="e">
        <f>#REF!</f>
        <v>#REF!</v>
      </c>
      <c r="K51" s="461" t="e">
        <f>#REF!</f>
        <v>#REF!</v>
      </c>
      <c r="L51" s="461" t="e">
        <f>#REF!</f>
        <v>#REF!</v>
      </c>
      <c r="M51" s="461" t="e">
        <f>#REF!</f>
        <v>#REF!</v>
      </c>
      <c r="N51" s="461" t="e">
        <f>#REF!</f>
        <v>#REF!</v>
      </c>
      <c r="O51" s="461" t="e">
        <f>#REF!</f>
        <v>#REF!</v>
      </c>
      <c r="P51" s="461" t="e">
        <f>#REF!</f>
        <v>#REF!</v>
      </c>
      <c r="Q51" s="461" t="e">
        <f>#REF!</f>
        <v>#REF!</v>
      </c>
      <c r="R51" s="461" t="e">
        <f>#REF!</f>
        <v>#REF!</v>
      </c>
      <c r="S51" s="461" t="e">
        <f>#REF!</f>
        <v>#REF!</v>
      </c>
      <c r="T51" s="461" t="e">
        <f>#REF!</f>
        <v>#REF!</v>
      </c>
      <c r="U51" s="461" t="e">
        <f>#REF!</f>
        <v>#REF!</v>
      </c>
      <c r="V51" s="461" t="e">
        <f>#REF!</f>
        <v>#REF!</v>
      </c>
      <c r="W51" s="461" t="e">
        <f>#REF!</f>
        <v>#REF!</v>
      </c>
      <c r="X51" s="461" t="e">
        <f>#REF!</f>
        <v>#REF!</v>
      </c>
      <c r="Y51" s="461" t="e">
        <f>#REF!</f>
        <v>#REF!</v>
      </c>
      <c r="Z51" s="461" t="e">
        <f>#REF!</f>
        <v>#REF!</v>
      </c>
      <c r="AA51" s="461" t="e">
        <f>#REF!</f>
        <v>#REF!</v>
      </c>
      <c r="AB51" s="461" t="e">
        <f>#REF!</f>
        <v>#REF!</v>
      </c>
      <c r="AC51" s="461" t="e">
        <f>#REF!</f>
        <v>#REF!</v>
      </c>
      <c r="AD51" s="461" t="e">
        <f>#REF!</f>
        <v>#REF!</v>
      </c>
      <c r="AE51" s="461" t="e">
        <f>#REF!</f>
        <v>#REF!</v>
      </c>
      <c r="AF51" s="461" t="e">
        <f>#REF!</f>
        <v>#REF!</v>
      </c>
      <c r="AG51" s="461" t="e">
        <f>#REF!</f>
        <v>#REF!</v>
      </c>
      <c r="AH51" s="461" t="e">
        <f>#REF!</f>
        <v>#REF!</v>
      </c>
      <c r="AI51" s="461" t="e">
        <f>#REF!</f>
        <v>#REF!</v>
      </c>
      <c r="AJ51" s="461" t="e">
        <f>#REF!</f>
        <v>#REF!</v>
      </c>
      <c r="AK51" s="461" t="e">
        <f>#REF!</f>
        <v>#REF!</v>
      </c>
      <c r="AL51" s="461" t="e">
        <f>#REF!</f>
        <v>#REF!</v>
      </c>
      <c r="AM51" s="461" t="e">
        <f>#REF!</f>
        <v>#REF!</v>
      </c>
      <c r="AN51" s="461" t="e">
        <f>#REF!</f>
        <v>#REF!</v>
      </c>
      <c r="AO51" s="461" t="e">
        <f>#REF!</f>
        <v>#REF!</v>
      </c>
      <c r="AP51" s="461" t="e">
        <f>#REF!</f>
        <v>#REF!</v>
      </c>
      <c r="AQ51" s="461" t="e">
        <f>#REF!</f>
        <v>#REF!</v>
      </c>
      <c r="AR51" s="461" t="e">
        <f>#REF!</f>
        <v>#REF!</v>
      </c>
      <c r="AS51" s="461" t="e">
        <f>#REF!</f>
        <v>#REF!</v>
      </c>
      <c r="AT51" s="461" t="e">
        <f>#REF!</f>
        <v>#REF!</v>
      </c>
      <c r="AU51" s="461" t="e">
        <f>#REF!</f>
        <v>#REF!</v>
      </c>
      <c r="AV51" s="461" t="e">
        <f>#REF!</f>
        <v>#REF!</v>
      </c>
      <c r="AW51" s="461" t="e">
        <f>#REF!</f>
        <v>#REF!</v>
      </c>
      <c r="AX51" s="461" t="e">
        <f>#REF!</f>
        <v>#REF!</v>
      </c>
      <c r="AY51" s="461" t="e">
        <f>#REF!</f>
        <v>#REF!</v>
      </c>
      <c r="AZ51" s="461" t="e">
        <f>#REF!</f>
        <v>#REF!</v>
      </c>
      <c r="BA51" s="461" t="e">
        <f>#REF!</f>
        <v>#REF!</v>
      </c>
      <c r="BB51" s="461" t="e">
        <f>#REF!</f>
        <v>#REF!</v>
      </c>
      <c r="BC51" s="595" t="e">
        <f>#REF!</f>
        <v>#REF!</v>
      </c>
    </row>
    <row r="52" spans="2:55" s="392" customFormat="1" ht="15" hidden="1" customHeight="1">
      <c r="B52" s="405" t="str">
        <f>'2.  Scheme Wide'!A160</f>
        <v>PT1a Rapid Transit Loop Bus only roads</v>
      </c>
      <c r="C52" s="468"/>
      <c r="D52" s="476" t="e">
        <f t="shared" si="22"/>
        <v>#REF!</v>
      </c>
      <c r="E52" s="460"/>
      <c r="F52" s="461" t="e">
        <f>#REF!</f>
        <v>#REF!</v>
      </c>
      <c r="G52" s="461" t="e">
        <f>#REF!</f>
        <v>#REF!</v>
      </c>
      <c r="H52" s="461" t="e">
        <f>#REF!</f>
        <v>#REF!</v>
      </c>
      <c r="I52" s="461" t="e">
        <f>#REF!</f>
        <v>#REF!</v>
      </c>
      <c r="J52" s="461" t="e">
        <f>#REF!</f>
        <v>#REF!</v>
      </c>
      <c r="K52" s="461" t="e">
        <f>#REF!</f>
        <v>#REF!</v>
      </c>
      <c r="L52" s="461" t="e">
        <f>#REF!</f>
        <v>#REF!</v>
      </c>
      <c r="M52" s="461" t="e">
        <f>#REF!</f>
        <v>#REF!</v>
      </c>
      <c r="N52" s="461" t="e">
        <f>#REF!</f>
        <v>#REF!</v>
      </c>
      <c r="O52" s="461" t="e">
        <f>#REF!</f>
        <v>#REF!</v>
      </c>
      <c r="P52" s="461" t="e">
        <f>#REF!</f>
        <v>#REF!</v>
      </c>
      <c r="Q52" s="461" t="e">
        <f>#REF!</f>
        <v>#REF!</v>
      </c>
      <c r="R52" s="461" t="e">
        <f>#REF!</f>
        <v>#REF!</v>
      </c>
      <c r="S52" s="461" t="e">
        <f>#REF!</f>
        <v>#REF!</v>
      </c>
      <c r="T52" s="461" t="e">
        <f>#REF!</f>
        <v>#REF!</v>
      </c>
      <c r="U52" s="461" t="e">
        <f>#REF!</f>
        <v>#REF!</v>
      </c>
      <c r="V52" s="461" t="e">
        <f>#REF!</f>
        <v>#REF!</v>
      </c>
      <c r="W52" s="461" t="e">
        <f>#REF!</f>
        <v>#REF!</v>
      </c>
      <c r="X52" s="461" t="e">
        <f>#REF!</f>
        <v>#REF!</v>
      </c>
      <c r="Y52" s="461" t="e">
        <f>#REF!</f>
        <v>#REF!</v>
      </c>
      <c r="Z52" s="461" t="e">
        <f>#REF!</f>
        <v>#REF!</v>
      </c>
      <c r="AA52" s="461" t="e">
        <f>#REF!</f>
        <v>#REF!</v>
      </c>
      <c r="AB52" s="461" t="e">
        <f>#REF!</f>
        <v>#REF!</v>
      </c>
      <c r="AC52" s="461" t="e">
        <f>#REF!</f>
        <v>#REF!</v>
      </c>
      <c r="AD52" s="461" t="e">
        <f>#REF!</f>
        <v>#REF!</v>
      </c>
      <c r="AE52" s="461" t="e">
        <f>#REF!</f>
        <v>#REF!</v>
      </c>
      <c r="AF52" s="461" t="e">
        <f>#REF!</f>
        <v>#REF!</v>
      </c>
      <c r="AG52" s="461" t="e">
        <f>#REF!</f>
        <v>#REF!</v>
      </c>
      <c r="AH52" s="461" t="e">
        <f>#REF!</f>
        <v>#REF!</v>
      </c>
      <c r="AI52" s="461" t="e">
        <f>#REF!</f>
        <v>#REF!</v>
      </c>
      <c r="AJ52" s="461" t="e">
        <f>#REF!</f>
        <v>#REF!</v>
      </c>
      <c r="AK52" s="461" t="e">
        <f>#REF!</f>
        <v>#REF!</v>
      </c>
      <c r="AL52" s="461" t="e">
        <f>#REF!</f>
        <v>#REF!</v>
      </c>
      <c r="AM52" s="461" t="e">
        <f>#REF!</f>
        <v>#REF!</v>
      </c>
      <c r="AN52" s="461" t="e">
        <f>#REF!</f>
        <v>#REF!</v>
      </c>
      <c r="AO52" s="461" t="e">
        <f>#REF!</f>
        <v>#REF!</v>
      </c>
      <c r="AP52" s="461" t="e">
        <f>#REF!</f>
        <v>#REF!</v>
      </c>
      <c r="AQ52" s="461" t="e">
        <f>#REF!</f>
        <v>#REF!</v>
      </c>
      <c r="AR52" s="461" t="e">
        <f>#REF!</f>
        <v>#REF!</v>
      </c>
      <c r="AS52" s="461" t="e">
        <f>#REF!</f>
        <v>#REF!</v>
      </c>
      <c r="AT52" s="461" t="e">
        <f>#REF!</f>
        <v>#REF!</v>
      </c>
      <c r="AU52" s="461" t="e">
        <f>#REF!</f>
        <v>#REF!</v>
      </c>
      <c r="AV52" s="461" t="e">
        <f>#REF!</f>
        <v>#REF!</v>
      </c>
      <c r="AW52" s="461" t="e">
        <f>#REF!</f>
        <v>#REF!</v>
      </c>
      <c r="AX52" s="461" t="e">
        <f>#REF!</f>
        <v>#REF!</v>
      </c>
      <c r="AY52" s="461" t="e">
        <f>#REF!</f>
        <v>#REF!</v>
      </c>
      <c r="AZ52" s="461" t="e">
        <f>#REF!</f>
        <v>#REF!</v>
      </c>
      <c r="BA52" s="461" t="e">
        <f>#REF!</f>
        <v>#REF!</v>
      </c>
      <c r="BB52" s="461" t="e">
        <f>#REF!</f>
        <v>#REF!</v>
      </c>
      <c r="BC52" s="595" t="e">
        <f>#REF!</f>
        <v>#REF!</v>
      </c>
    </row>
    <row r="53" spans="2:55" s="392" customFormat="1" ht="15" hidden="1" customHeight="1">
      <c r="B53" s="397" t="str">
        <f>'2.  Scheme Wide'!A161</f>
        <v>PT2 Park &amp; Ride</v>
      </c>
      <c r="C53" s="468"/>
      <c r="D53" s="476" t="e">
        <f t="shared" si="22"/>
        <v>#REF!</v>
      </c>
      <c r="E53" s="460"/>
      <c r="F53" s="461" t="e">
        <f>#REF!</f>
        <v>#REF!</v>
      </c>
      <c r="G53" s="461" t="e">
        <f>#REF!</f>
        <v>#REF!</v>
      </c>
      <c r="H53" s="461" t="e">
        <f>#REF!</f>
        <v>#REF!</v>
      </c>
      <c r="I53" s="461" t="e">
        <f>#REF!</f>
        <v>#REF!</v>
      </c>
      <c r="J53" s="461" t="e">
        <f>#REF!</f>
        <v>#REF!</v>
      </c>
      <c r="K53" s="461" t="e">
        <f>#REF!</f>
        <v>#REF!</v>
      </c>
      <c r="L53" s="461" t="e">
        <f>#REF!</f>
        <v>#REF!</v>
      </c>
      <c r="M53" s="461" t="e">
        <f>#REF!</f>
        <v>#REF!</v>
      </c>
      <c r="N53" s="461" t="e">
        <f>#REF!</f>
        <v>#REF!</v>
      </c>
      <c r="O53" s="461" t="e">
        <f>#REF!</f>
        <v>#REF!</v>
      </c>
      <c r="P53" s="461" t="e">
        <f>#REF!</f>
        <v>#REF!</v>
      </c>
      <c r="Q53" s="461" t="e">
        <f>#REF!</f>
        <v>#REF!</v>
      </c>
      <c r="R53" s="461" t="e">
        <f>#REF!</f>
        <v>#REF!</v>
      </c>
      <c r="S53" s="461" t="e">
        <f>#REF!</f>
        <v>#REF!</v>
      </c>
      <c r="T53" s="461" t="e">
        <f>#REF!</f>
        <v>#REF!</v>
      </c>
      <c r="U53" s="461" t="e">
        <f>#REF!</f>
        <v>#REF!</v>
      </c>
      <c r="V53" s="461" t="e">
        <f>#REF!</f>
        <v>#REF!</v>
      </c>
      <c r="W53" s="461" t="e">
        <f>#REF!</f>
        <v>#REF!</v>
      </c>
      <c r="X53" s="461" t="e">
        <f>#REF!</f>
        <v>#REF!</v>
      </c>
      <c r="Y53" s="461" t="e">
        <f>#REF!</f>
        <v>#REF!</v>
      </c>
      <c r="Z53" s="461" t="e">
        <f>#REF!</f>
        <v>#REF!</v>
      </c>
      <c r="AA53" s="461" t="e">
        <f>#REF!</f>
        <v>#REF!</v>
      </c>
      <c r="AB53" s="461" t="e">
        <f>#REF!</f>
        <v>#REF!</v>
      </c>
      <c r="AC53" s="461" t="e">
        <f>#REF!</f>
        <v>#REF!</v>
      </c>
      <c r="AD53" s="461" t="e">
        <f>#REF!</f>
        <v>#REF!</v>
      </c>
      <c r="AE53" s="461" t="e">
        <f>#REF!</f>
        <v>#REF!</v>
      </c>
      <c r="AF53" s="461" t="e">
        <f>#REF!</f>
        <v>#REF!</v>
      </c>
      <c r="AG53" s="461" t="e">
        <f>#REF!</f>
        <v>#REF!</v>
      </c>
      <c r="AH53" s="461" t="e">
        <f>#REF!</f>
        <v>#REF!</v>
      </c>
      <c r="AI53" s="461" t="e">
        <f>#REF!</f>
        <v>#REF!</v>
      </c>
      <c r="AJ53" s="461" t="e">
        <f>#REF!</f>
        <v>#REF!</v>
      </c>
      <c r="AK53" s="461" t="e">
        <f>#REF!</f>
        <v>#REF!</v>
      </c>
      <c r="AL53" s="461" t="e">
        <f>#REF!</f>
        <v>#REF!</v>
      </c>
      <c r="AM53" s="461" t="e">
        <f>#REF!</f>
        <v>#REF!</v>
      </c>
      <c r="AN53" s="461" t="e">
        <f>#REF!</f>
        <v>#REF!</v>
      </c>
      <c r="AO53" s="461" t="e">
        <f>#REF!</f>
        <v>#REF!</v>
      </c>
      <c r="AP53" s="461" t="e">
        <f>#REF!</f>
        <v>#REF!</v>
      </c>
      <c r="AQ53" s="461" t="e">
        <f>#REF!</f>
        <v>#REF!</v>
      </c>
      <c r="AR53" s="461" t="e">
        <f>#REF!</f>
        <v>#REF!</v>
      </c>
      <c r="AS53" s="461" t="e">
        <f>#REF!</f>
        <v>#REF!</v>
      </c>
      <c r="AT53" s="461" t="e">
        <f>#REF!</f>
        <v>#REF!</v>
      </c>
      <c r="AU53" s="461" t="e">
        <f>#REF!</f>
        <v>#REF!</v>
      </c>
      <c r="AV53" s="461" t="e">
        <f>#REF!</f>
        <v>#REF!</v>
      </c>
      <c r="AW53" s="461" t="e">
        <f>#REF!</f>
        <v>#REF!</v>
      </c>
      <c r="AX53" s="461" t="e">
        <f>#REF!</f>
        <v>#REF!</v>
      </c>
      <c r="AY53" s="461" t="e">
        <f>#REF!</f>
        <v>#REF!</v>
      </c>
      <c r="AZ53" s="461" t="e">
        <f>#REF!</f>
        <v>#REF!</v>
      </c>
      <c r="BA53" s="461" t="e">
        <f>#REF!</f>
        <v>#REF!</v>
      </c>
      <c r="BB53" s="461" t="e">
        <f>#REF!</f>
        <v>#REF!</v>
      </c>
      <c r="BC53" s="595" t="e">
        <f>#REF!</f>
        <v>#REF!</v>
      </c>
    </row>
    <row r="54" spans="2:55" s="392" customFormat="1" ht="15" hidden="1" customHeight="1">
      <c r="B54" s="475" t="str">
        <f>'2.  Scheme Wide'!A162</f>
        <v>Pt3 West Tey Railway Station</v>
      </c>
      <c r="C54" s="468"/>
      <c r="D54" s="476" t="e">
        <f t="shared" si="22"/>
        <v>#REF!</v>
      </c>
      <c r="E54" s="460"/>
      <c r="F54" s="461" t="e">
        <f>#REF!</f>
        <v>#REF!</v>
      </c>
      <c r="G54" s="461" t="e">
        <f>#REF!</f>
        <v>#REF!</v>
      </c>
      <c r="H54" s="461" t="e">
        <f>#REF!</f>
        <v>#REF!</v>
      </c>
      <c r="I54" s="461" t="e">
        <f>#REF!</f>
        <v>#REF!</v>
      </c>
      <c r="J54" s="461" t="e">
        <f>#REF!</f>
        <v>#REF!</v>
      </c>
      <c r="K54" s="461" t="e">
        <f>#REF!</f>
        <v>#REF!</v>
      </c>
      <c r="L54" s="461" t="e">
        <f>#REF!</f>
        <v>#REF!</v>
      </c>
      <c r="M54" s="461" t="e">
        <f>#REF!</f>
        <v>#REF!</v>
      </c>
      <c r="N54" s="461" t="e">
        <f>#REF!</f>
        <v>#REF!</v>
      </c>
      <c r="O54" s="461" t="e">
        <f>#REF!</f>
        <v>#REF!</v>
      </c>
      <c r="P54" s="461" t="e">
        <f>#REF!</f>
        <v>#REF!</v>
      </c>
      <c r="Q54" s="461" t="e">
        <f>#REF!</f>
        <v>#REF!</v>
      </c>
      <c r="R54" s="461" t="e">
        <f>#REF!</f>
        <v>#REF!</v>
      </c>
      <c r="S54" s="461" t="e">
        <f>#REF!</f>
        <v>#REF!</v>
      </c>
      <c r="T54" s="461" t="e">
        <f>#REF!</f>
        <v>#REF!</v>
      </c>
      <c r="U54" s="461" t="e">
        <f>#REF!</f>
        <v>#REF!</v>
      </c>
      <c r="V54" s="461" t="e">
        <f>#REF!</f>
        <v>#REF!</v>
      </c>
      <c r="W54" s="461" t="e">
        <f>#REF!</f>
        <v>#REF!</v>
      </c>
      <c r="X54" s="461" t="e">
        <f>#REF!</f>
        <v>#REF!</v>
      </c>
      <c r="Y54" s="461" t="e">
        <f>#REF!</f>
        <v>#REF!</v>
      </c>
      <c r="Z54" s="461" t="e">
        <f>#REF!</f>
        <v>#REF!</v>
      </c>
      <c r="AA54" s="461" t="e">
        <f>#REF!</f>
        <v>#REF!</v>
      </c>
      <c r="AB54" s="461" t="e">
        <f>#REF!</f>
        <v>#REF!</v>
      </c>
      <c r="AC54" s="461" t="e">
        <f>#REF!</f>
        <v>#REF!</v>
      </c>
      <c r="AD54" s="461" t="e">
        <f>#REF!</f>
        <v>#REF!</v>
      </c>
      <c r="AE54" s="461" t="e">
        <f>#REF!</f>
        <v>#REF!</v>
      </c>
      <c r="AF54" s="461" t="e">
        <f>#REF!</f>
        <v>#REF!</v>
      </c>
      <c r="AG54" s="461" t="e">
        <f>#REF!</f>
        <v>#REF!</v>
      </c>
      <c r="AH54" s="461" t="e">
        <f>#REF!</f>
        <v>#REF!</v>
      </c>
      <c r="AI54" s="461" t="e">
        <f>#REF!</f>
        <v>#REF!</v>
      </c>
      <c r="AJ54" s="461" t="e">
        <f>#REF!</f>
        <v>#REF!</v>
      </c>
      <c r="AK54" s="461" t="e">
        <f>#REF!</f>
        <v>#REF!</v>
      </c>
      <c r="AL54" s="461" t="e">
        <f>#REF!</f>
        <v>#REF!</v>
      </c>
      <c r="AM54" s="461" t="e">
        <f>#REF!</f>
        <v>#REF!</v>
      </c>
      <c r="AN54" s="461" t="e">
        <f>#REF!</f>
        <v>#REF!</v>
      </c>
      <c r="AO54" s="461" t="e">
        <f>#REF!</f>
        <v>#REF!</v>
      </c>
      <c r="AP54" s="461" t="e">
        <f>#REF!</f>
        <v>#REF!</v>
      </c>
      <c r="AQ54" s="461" t="e">
        <f>#REF!</f>
        <v>#REF!</v>
      </c>
      <c r="AR54" s="461" t="e">
        <f>#REF!</f>
        <v>#REF!</v>
      </c>
      <c r="AS54" s="461" t="e">
        <f>#REF!</f>
        <v>#REF!</v>
      </c>
      <c r="AT54" s="461" t="e">
        <f>#REF!</f>
        <v>#REF!</v>
      </c>
      <c r="AU54" s="461" t="e">
        <f>#REF!</f>
        <v>#REF!</v>
      </c>
      <c r="AV54" s="461" t="e">
        <f>#REF!</f>
        <v>#REF!</v>
      </c>
      <c r="AW54" s="461" t="e">
        <f>#REF!</f>
        <v>#REF!</v>
      </c>
      <c r="AX54" s="461" t="e">
        <f>#REF!</f>
        <v>#REF!</v>
      </c>
      <c r="AY54" s="461" t="e">
        <f>#REF!</f>
        <v>#REF!</v>
      </c>
      <c r="AZ54" s="461" t="e">
        <f>#REF!</f>
        <v>#REF!</v>
      </c>
      <c r="BA54" s="461" t="e">
        <f>#REF!</f>
        <v>#REF!</v>
      </c>
      <c r="BB54" s="461" t="e">
        <f>#REF!</f>
        <v>#REF!</v>
      </c>
      <c r="BC54" s="595" t="e">
        <f>#REF!</f>
        <v>#REF!</v>
      </c>
    </row>
    <row r="55" spans="2:55" s="392" customFormat="1" ht="15" hidden="1" customHeight="1">
      <c r="B55" s="397" t="str">
        <f>'2.  Scheme Wide'!A163</f>
        <v>PT4 West Tey Transit hub</v>
      </c>
      <c r="C55" s="468"/>
      <c r="D55" s="476" t="e">
        <f t="shared" si="22"/>
        <v>#REF!</v>
      </c>
      <c r="E55" s="460"/>
      <c r="F55" s="477" t="e">
        <f>#REF!</f>
        <v>#REF!</v>
      </c>
      <c r="G55" s="477" t="e">
        <f>#REF!</f>
        <v>#REF!</v>
      </c>
      <c r="H55" s="477" t="e">
        <f>#REF!</f>
        <v>#REF!</v>
      </c>
      <c r="I55" s="477" t="e">
        <f>#REF!</f>
        <v>#REF!</v>
      </c>
      <c r="J55" s="477" t="e">
        <f>#REF!</f>
        <v>#REF!</v>
      </c>
      <c r="K55" s="477" t="e">
        <f>#REF!</f>
        <v>#REF!</v>
      </c>
      <c r="L55" s="477" t="e">
        <f>#REF!</f>
        <v>#REF!</v>
      </c>
      <c r="M55" s="477" t="e">
        <f>#REF!</f>
        <v>#REF!</v>
      </c>
      <c r="N55" s="477" t="e">
        <f>#REF!</f>
        <v>#REF!</v>
      </c>
      <c r="O55" s="477" t="e">
        <f>#REF!</f>
        <v>#REF!</v>
      </c>
      <c r="P55" s="477" t="e">
        <f>#REF!</f>
        <v>#REF!</v>
      </c>
      <c r="Q55" s="477" t="e">
        <f>#REF!</f>
        <v>#REF!</v>
      </c>
      <c r="R55" s="477" t="e">
        <f>#REF!</f>
        <v>#REF!</v>
      </c>
      <c r="S55" s="477" t="e">
        <f>#REF!</f>
        <v>#REF!</v>
      </c>
      <c r="T55" s="477" t="e">
        <f>#REF!</f>
        <v>#REF!</v>
      </c>
      <c r="U55" s="477" t="e">
        <f>#REF!</f>
        <v>#REF!</v>
      </c>
      <c r="V55" s="477" t="e">
        <f>#REF!</f>
        <v>#REF!</v>
      </c>
      <c r="W55" s="477" t="e">
        <f>#REF!</f>
        <v>#REF!</v>
      </c>
      <c r="X55" s="477" t="e">
        <f>#REF!</f>
        <v>#REF!</v>
      </c>
      <c r="Y55" s="477" t="e">
        <f>#REF!</f>
        <v>#REF!</v>
      </c>
      <c r="Z55" s="477" t="e">
        <f>#REF!</f>
        <v>#REF!</v>
      </c>
      <c r="AA55" s="477" t="e">
        <f>#REF!</f>
        <v>#REF!</v>
      </c>
      <c r="AB55" s="477" t="e">
        <f>#REF!</f>
        <v>#REF!</v>
      </c>
      <c r="AC55" s="477" t="e">
        <f>#REF!</f>
        <v>#REF!</v>
      </c>
      <c r="AD55" s="477" t="e">
        <f>#REF!</f>
        <v>#REF!</v>
      </c>
      <c r="AE55" s="477" t="e">
        <f>#REF!</f>
        <v>#REF!</v>
      </c>
      <c r="AF55" s="477" t="e">
        <f>#REF!</f>
        <v>#REF!</v>
      </c>
      <c r="AG55" s="477" t="e">
        <f>#REF!</f>
        <v>#REF!</v>
      </c>
      <c r="AH55" s="477" t="e">
        <f>#REF!</f>
        <v>#REF!</v>
      </c>
      <c r="AI55" s="477" t="e">
        <f>#REF!</f>
        <v>#REF!</v>
      </c>
      <c r="AJ55" s="477" t="e">
        <f>#REF!</f>
        <v>#REF!</v>
      </c>
      <c r="AK55" s="477" t="e">
        <f>#REF!</f>
        <v>#REF!</v>
      </c>
      <c r="AL55" s="477" t="e">
        <f>#REF!</f>
        <v>#REF!</v>
      </c>
      <c r="AM55" s="477" t="e">
        <f>#REF!</f>
        <v>#REF!</v>
      </c>
      <c r="AN55" s="477" t="e">
        <f>#REF!</f>
        <v>#REF!</v>
      </c>
      <c r="AO55" s="477" t="e">
        <f>#REF!</f>
        <v>#REF!</v>
      </c>
      <c r="AP55" s="477" t="e">
        <f>#REF!</f>
        <v>#REF!</v>
      </c>
      <c r="AQ55" s="477" t="e">
        <f>#REF!</f>
        <v>#REF!</v>
      </c>
      <c r="AR55" s="477" t="e">
        <f>#REF!</f>
        <v>#REF!</v>
      </c>
      <c r="AS55" s="477" t="e">
        <f>#REF!</f>
        <v>#REF!</v>
      </c>
      <c r="AT55" s="477" t="e">
        <f>#REF!</f>
        <v>#REF!</v>
      </c>
      <c r="AU55" s="477" t="e">
        <f>#REF!</f>
        <v>#REF!</v>
      </c>
      <c r="AV55" s="477" t="e">
        <f>#REF!</f>
        <v>#REF!</v>
      </c>
      <c r="AW55" s="477" t="e">
        <f>#REF!</f>
        <v>#REF!</v>
      </c>
      <c r="AX55" s="477" t="e">
        <f>#REF!</f>
        <v>#REF!</v>
      </c>
      <c r="AY55" s="477" t="e">
        <f>#REF!</f>
        <v>#REF!</v>
      </c>
      <c r="AZ55" s="477" t="e">
        <f>#REF!</f>
        <v>#REF!</v>
      </c>
      <c r="BA55" s="477" t="e">
        <f>#REF!</f>
        <v>#REF!</v>
      </c>
      <c r="BB55" s="477" t="e">
        <f>#REF!</f>
        <v>#REF!</v>
      </c>
      <c r="BC55" s="597" t="e">
        <f>#REF!</f>
        <v>#REF!</v>
      </c>
    </row>
    <row r="56" spans="2:55" s="392" customFormat="1" ht="15" hidden="1" customHeight="1">
      <c r="B56" s="405" t="str">
        <f>'2.  Scheme Wide'!A164</f>
        <v>Travel Plan measures</v>
      </c>
      <c r="C56" s="468"/>
      <c r="D56" s="476" t="e">
        <f t="shared" si="22"/>
        <v>#REF!</v>
      </c>
      <c r="E56" s="460"/>
      <c r="F56" s="461" t="e">
        <f>#REF!</f>
        <v>#REF!</v>
      </c>
      <c r="G56" s="461" t="e">
        <f>#REF!</f>
        <v>#REF!</v>
      </c>
      <c r="H56" s="461" t="e">
        <f>#REF!</f>
        <v>#REF!</v>
      </c>
      <c r="I56" s="461" t="e">
        <f>#REF!</f>
        <v>#REF!</v>
      </c>
      <c r="J56" s="461" t="e">
        <f>#REF!</f>
        <v>#REF!</v>
      </c>
      <c r="K56" s="461" t="e">
        <f>#REF!</f>
        <v>#REF!</v>
      </c>
      <c r="L56" s="461" t="e">
        <f>#REF!</f>
        <v>#REF!</v>
      </c>
      <c r="M56" s="461" t="e">
        <f>#REF!</f>
        <v>#REF!</v>
      </c>
      <c r="N56" s="461" t="e">
        <f>#REF!</f>
        <v>#REF!</v>
      </c>
      <c r="O56" s="461" t="e">
        <f>#REF!</f>
        <v>#REF!</v>
      </c>
      <c r="P56" s="461" t="e">
        <f>#REF!</f>
        <v>#REF!</v>
      </c>
      <c r="Q56" s="461" t="e">
        <f>#REF!</f>
        <v>#REF!</v>
      </c>
      <c r="R56" s="461" t="e">
        <f>#REF!</f>
        <v>#REF!</v>
      </c>
      <c r="S56" s="461" t="e">
        <f>#REF!</f>
        <v>#REF!</v>
      </c>
      <c r="T56" s="461" t="e">
        <f>#REF!</f>
        <v>#REF!</v>
      </c>
      <c r="U56" s="461" t="e">
        <f>#REF!</f>
        <v>#REF!</v>
      </c>
      <c r="V56" s="461" t="e">
        <f>#REF!</f>
        <v>#REF!</v>
      </c>
      <c r="W56" s="461" t="e">
        <f>#REF!</f>
        <v>#REF!</v>
      </c>
      <c r="X56" s="461" t="e">
        <f>#REF!</f>
        <v>#REF!</v>
      </c>
      <c r="Y56" s="461" t="e">
        <f>#REF!</f>
        <v>#REF!</v>
      </c>
      <c r="Z56" s="461" t="e">
        <f>#REF!</f>
        <v>#REF!</v>
      </c>
      <c r="AA56" s="461" t="e">
        <f>#REF!</f>
        <v>#REF!</v>
      </c>
      <c r="AB56" s="461" t="e">
        <f>#REF!</f>
        <v>#REF!</v>
      </c>
      <c r="AC56" s="461" t="e">
        <f>#REF!</f>
        <v>#REF!</v>
      </c>
      <c r="AD56" s="461" t="e">
        <f>#REF!</f>
        <v>#REF!</v>
      </c>
      <c r="AE56" s="461" t="e">
        <f>#REF!</f>
        <v>#REF!</v>
      </c>
      <c r="AF56" s="461" t="e">
        <f>#REF!</f>
        <v>#REF!</v>
      </c>
      <c r="AG56" s="461" t="e">
        <f>#REF!</f>
        <v>#REF!</v>
      </c>
      <c r="AH56" s="461" t="e">
        <f>#REF!</f>
        <v>#REF!</v>
      </c>
      <c r="AI56" s="461" t="e">
        <f>#REF!</f>
        <v>#REF!</v>
      </c>
      <c r="AJ56" s="461" t="e">
        <f>#REF!</f>
        <v>#REF!</v>
      </c>
      <c r="AK56" s="461" t="e">
        <f>#REF!</f>
        <v>#REF!</v>
      </c>
      <c r="AL56" s="461" t="e">
        <f>#REF!</f>
        <v>#REF!</v>
      </c>
      <c r="AM56" s="461" t="e">
        <f>#REF!</f>
        <v>#REF!</v>
      </c>
      <c r="AN56" s="461" t="e">
        <f>#REF!</f>
        <v>#REF!</v>
      </c>
      <c r="AO56" s="461" t="e">
        <f>#REF!</f>
        <v>#REF!</v>
      </c>
      <c r="AP56" s="461" t="e">
        <f>#REF!</f>
        <v>#REF!</v>
      </c>
      <c r="AQ56" s="461" t="e">
        <f>#REF!</f>
        <v>#REF!</v>
      </c>
      <c r="AR56" s="461" t="e">
        <f>#REF!</f>
        <v>#REF!</v>
      </c>
      <c r="AS56" s="461" t="e">
        <f>#REF!</f>
        <v>#REF!</v>
      </c>
      <c r="AT56" s="461" t="e">
        <f>#REF!</f>
        <v>#REF!</v>
      </c>
      <c r="AU56" s="461" t="e">
        <f>#REF!</f>
        <v>#REF!</v>
      </c>
      <c r="AV56" s="461" t="e">
        <f>#REF!</f>
        <v>#REF!</v>
      </c>
      <c r="AW56" s="461" t="e">
        <f>#REF!</f>
        <v>#REF!</v>
      </c>
      <c r="AX56" s="461" t="e">
        <f>#REF!</f>
        <v>#REF!</v>
      </c>
      <c r="AY56" s="461" t="e">
        <f>#REF!</f>
        <v>#REF!</v>
      </c>
      <c r="AZ56" s="461" t="e">
        <f>#REF!</f>
        <v>#REF!</v>
      </c>
      <c r="BA56" s="461" t="e">
        <f>#REF!</f>
        <v>#REF!</v>
      </c>
      <c r="BB56" s="461" t="e">
        <f>#REF!</f>
        <v>#REF!</v>
      </c>
      <c r="BC56" s="595" t="e">
        <f>#REF!</f>
        <v>#REF!</v>
      </c>
    </row>
    <row r="57" spans="2:55" s="392" customFormat="1" ht="15" hidden="1" customHeight="1">
      <c r="B57" s="401" t="str">
        <f>'2.  Scheme Wide'!A165</f>
        <v>Employment support</v>
      </c>
      <c r="C57" s="468"/>
      <c r="D57" s="476" t="e">
        <f t="shared" si="22"/>
        <v>#REF!</v>
      </c>
      <c r="E57" s="460"/>
      <c r="F57" s="461" t="e">
        <f>#REF!</f>
        <v>#REF!</v>
      </c>
      <c r="G57" s="461" t="e">
        <f>#REF!</f>
        <v>#REF!</v>
      </c>
      <c r="H57" s="461" t="e">
        <f>#REF!</f>
        <v>#REF!</v>
      </c>
      <c r="I57" s="461" t="e">
        <f>#REF!</f>
        <v>#REF!</v>
      </c>
      <c r="J57" s="461" t="e">
        <f>#REF!</f>
        <v>#REF!</v>
      </c>
      <c r="K57" s="461" t="e">
        <f>#REF!</f>
        <v>#REF!</v>
      </c>
      <c r="L57" s="461" t="e">
        <f>#REF!</f>
        <v>#REF!</v>
      </c>
      <c r="M57" s="461" t="e">
        <f>#REF!</f>
        <v>#REF!</v>
      </c>
      <c r="N57" s="461" t="e">
        <f>#REF!</f>
        <v>#REF!</v>
      </c>
      <c r="O57" s="461" t="e">
        <f>#REF!</f>
        <v>#REF!</v>
      </c>
      <c r="P57" s="461" t="e">
        <f>#REF!</f>
        <v>#REF!</v>
      </c>
      <c r="Q57" s="461" t="e">
        <f>#REF!</f>
        <v>#REF!</v>
      </c>
      <c r="R57" s="461" t="e">
        <f>#REF!</f>
        <v>#REF!</v>
      </c>
      <c r="S57" s="461" t="e">
        <f>#REF!</f>
        <v>#REF!</v>
      </c>
      <c r="T57" s="461" t="e">
        <f>#REF!</f>
        <v>#REF!</v>
      </c>
      <c r="U57" s="461" t="e">
        <f>#REF!</f>
        <v>#REF!</v>
      </c>
      <c r="V57" s="461" t="e">
        <f>#REF!</f>
        <v>#REF!</v>
      </c>
      <c r="W57" s="461" t="e">
        <f>#REF!</f>
        <v>#REF!</v>
      </c>
      <c r="X57" s="461" t="e">
        <f>#REF!</f>
        <v>#REF!</v>
      </c>
      <c r="Y57" s="461" t="e">
        <f>#REF!</f>
        <v>#REF!</v>
      </c>
      <c r="Z57" s="461" t="e">
        <f>#REF!</f>
        <v>#REF!</v>
      </c>
      <c r="AA57" s="461" t="e">
        <f>#REF!</f>
        <v>#REF!</v>
      </c>
      <c r="AB57" s="461" t="e">
        <f>#REF!</f>
        <v>#REF!</v>
      </c>
      <c r="AC57" s="461" t="e">
        <f>#REF!</f>
        <v>#REF!</v>
      </c>
      <c r="AD57" s="461" t="e">
        <f>#REF!</f>
        <v>#REF!</v>
      </c>
      <c r="AE57" s="461" t="e">
        <f>#REF!</f>
        <v>#REF!</v>
      </c>
      <c r="AF57" s="461" t="e">
        <f>#REF!</f>
        <v>#REF!</v>
      </c>
      <c r="AG57" s="461" t="e">
        <f>#REF!</f>
        <v>#REF!</v>
      </c>
      <c r="AH57" s="461" t="e">
        <f>#REF!</f>
        <v>#REF!</v>
      </c>
      <c r="AI57" s="461" t="e">
        <f>#REF!</f>
        <v>#REF!</v>
      </c>
      <c r="AJ57" s="461" t="e">
        <f>#REF!</f>
        <v>#REF!</v>
      </c>
      <c r="AK57" s="461" t="e">
        <f>#REF!</f>
        <v>#REF!</v>
      </c>
      <c r="AL57" s="461" t="e">
        <f>#REF!</f>
        <v>#REF!</v>
      </c>
      <c r="AM57" s="461" t="e">
        <f>#REF!</f>
        <v>#REF!</v>
      </c>
      <c r="AN57" s="461" t="e">
        <f>#REF!</f>
        <v>#REF!</v>
      </c>
      <c r="AO57" s="461" t="e">
        <f>#REF!</f>
        <v>#REF!</v>
      </c>
      <c r="AP57" s="461" t="e">
        <f>#REF!</f>
        <v>#REF!</v>
      </c>
      <c r="AQ57" s="461" t="e">
        <f>#REF!</f>
        <v>#REF!</v>
      </c>
      <c r="AR57" s="461" t="e">
        <f>#REF!</f>
        <v>#REF!</v>
      </c>
      <c r="AS57" s="461" t="e">
        <f>#REF!</f>
        <v>#REF!</v>
      </c>
      <c r="AT57" s="461" t="e">
        <f>#REF!</f>
        <v>#REF!</v>
      </c>
      <c r="AU57" s="461" t="e">
        <f>#REF!</f>
        <v>#REF!</v>
      </c>
      <c r="AV57" s="461" t="e">
        <f>#REF!</f>
        <v>#REF!</v>
      </c>
      <c r="AW57" s="461" t="e">
        <f>#REF!</f>
        <v>#REF!</v>
      </c>
      <c r="AX57" s="461" t="e">
        <f>#REF!</f>
        <v>#REF!</v>
      </c>
      <c r="AY57" s="461" t="e">
        <f>#REF!</f>
        <v>#REF!</v>
      </c>
      <c r="AZ57" s="461" t="e">
        <f>#REF!</f>
        <v>#REF!</v>
      </c>
      <c r="BA57" s="461" t="e">
        <f>#REF!</f>
        <v>#REF!</v>
      </c>
      <c r="BB57" s="461" t="e">
        <f>#REF!</f>
        <v>#REF!</v>
      </c>
      <c r="BC57" s="595" t="e">
        <f>#REF!</f>
        <v>#REF!</v>
      </c>
    </row>
    <row r="58" spans="2:55" s="392" customFormat="1" ht="15" hidden="1" customHeight="1">
      <c r="B58" s="394" t="s">
        <v>252</v>
      </c>
      <c r="C58" s="478"/>
      <c r="D58" s="479"/>
      <c r="E58" s="456"/>
      <c r="F58" s="480"/>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598"/>
    </row>
    <row r="59" spans="2:55" s="392" customFormat="1" ht="15" hidden="1" customHeight="1">
      <c r="B59" s="405" t="str">
        <f>'2.  Scheme Wide'!A169</f>
        <v>Utilities - Primary Substations, gas &amp; telecoms</v>
      </c>
      <c r="C59" s="468"/>
      <c r="D59" s="476" t="e">
        <f>SUM(F59:BC59)</f>
        <v>#REF!</v>
      </c>
      <c r="E59" s="460"/>
      <c r="F59" s="461" t="e">
        <f>#REF!</f>
        <v>#REF!</v>
      </c>
      <c r="G59" s="461" t="e">
        <f>#REF!</f>
        <v>#REF!</v>
      </c>
      <c r="H59" s="461" t="e">
        <f>#REF!</f>
        <v>#REF!</v>
      </c>
      <c r="I59" s="461" t="e">
        <f>#REF!</f>
        <v>#REF!</v>
      </c>
      <c r="J59" s="461" t="e">
        <f>#REF!</f>
        <v>#REF!</v>
      </c>
      <c r="K59" s="461" t="e">
        <f>#REF!</f>
        <v>#REF!</v>
      </c>
      <c r="L59" s="461" t="e">
        <f>#REF!</f>
        <v>#REF!</v>
      </c>
      <c r="M59" s="461" t="e">
        <f>#REF!</f>
        <v>#REF!</v>
      </c>
      <c r="N59" s="461" t="e">
        <f>#REF!</f>
        <v>#REF!</v>
      </c>
      <c r="O59" s="461" t="e">
        <f>#REF!</f>
        <v>#REF!</v>
      </c>
      <c r="P59" s="461" t="e">
        <f>#REF!</f>
        <v>#REF!</v>
      </c>
      <c r="Q59" s="461" t="e">
        <f>#REF!</f>
        <v>#REF!</v>
      </c>
      <c r="R59" s="461" t="e">
        <f>#REF!</f>
        <v>#REF!</v>
      </c>
      <c r="S59" s="461" t="e">
        <f>#REF!</f>
        <v>#REF!</v>
      </c>
      <c r="T59" s="461" t="e">
        <f>#REF!</f>
        <v>#REF!</v>
      </c>
      <c r="U59" s="461" t="e">
        <f>#REF!</f>
        <v>#REF!</v>
      </c>
      <c r="V59" s="461" t="e">
        <f>#REF!</f>
        <v>#REF!</v>
      </c>
      <c r="W59" s="461" t="e">
        <f>#REF!</f>
        <v>#REF!</v>
      </c>
      <c r="X59" s="461" t="e">
        <f>#REF!</f>
        <v>#REF!</v>
      </c>
      <c r="Y59" s="461" t="e">
        <f>#REF!</f>
        <v>#REF!</v>
      </c>
      <c r="Z59" s="461" t="e">
        <f>#REF!</f>
        <v>#REF!</v>
      </c>
      <c r="AA59" s="461">
        <v>5</v>
      </c>
      <c r="AB59" s="461"/>
      <c r="AC59" s="461" t="e">
        <f>#REF!</f>
        <v>#REF!</v>
      </c>
      <c r="AD59" s="461" t="e">
        <f>#REF!</f>
        <v>#REF!</v>
      </c>
      <c r="AE59" s="461" t="e">
        <f>#REF!</f>
        <v>#REF!</v>
      </c>
      <c r="AF59" s="461" t="e">
        <f>#REF!</f>
        <v>#REF!</v>
      </c>
      <c r="AG59" s="461" t="e">
        <f>#REF!</f>
        <v>#REF!</v>
      </c>
      <c r="AH59" s="461" t="e">
        <f>#REF!</f>
        <v>#REF!</v>
      </c>
      <c r="AI59" s="461" t="e">
        <f>#REF!</f>
        <v>#REF!</v>
      </c>
      <c r="AJ59" s="461" t="e">
        <f>#REF!</f>
        <v>#REF!</v>
      </c>
      <c r="AK59" s="461" t="e">
        <f>#REF!</f>
        <v>#REF!</v>
      </c>
      <c r="AL59" s="461" t="e">
        <f>#REF!</f>
        <v>#REF!</v>
      </c>
      <c r="AM59" s="461" t="e">
        <f>#REF!</f>
        <v>#REF!</v>
      </c>
      <c r="AN59" s="461" t="e">
        <f>#REF!</f>
        <v>#REF!</v>
      </c>
      <c r="AO59" s="461" t="e">
        <f>#REF!</f>
        <v>#REF!</v>
      </c>
      <c r="AP59" s="461" t="e">
        <f>#REF!</f>
        <v>#REF!</v>
      </c>
      <c r="AQ59" s="461" t="e">
        <f>#REF!</f>
        <v>#REF!</v>
      </c>
      <c r="AR59" s="461" t="e">
        <f>#REF!</f>
        <v>#REF!</v>
      </c>
      <c r="AS59" s="461" t="e">
        <f>#REF!</f>
        <v>#REF!</v>
      </c>
      <c r="AT59" s="461" t="e">
        <f>#REF!</f>
        <v>#REF!</v>
      </c>
      <c r="AU59" s="461" t="e">
        <f>#REF!</f>
        <v>#REF!</v>
      </c>
      <c r="AV59" s="461" t="e">
        <f>#REF!</f>
        <v>#REF!</v>
      </c>
      <c r="AW59" s="461" t="e">
        <f>#REF!</f>
        <v>#REF!</v>
      </c>
      <c r="AX59" s="461" t="e">
        <f>#REF!</f>
        <v>#REF!</v>
      </c>
      <c r="AY59" s="461" t="e">
        <f>#REF!</f>
        <v>#REF!</v>
      </c>
      <c r="AZ59" s="461" t="e">
        <f>#REF!</f>
        <v>#REF!</v>
      </c>
      <c r="BA59" s="461" t="e">
        <f>#REF!</f>
        <v>#REF!</v>
      </c>
      <c r="BB59" s="461" t="e">
        <f>#REF!</f>
        <v>#REF!</v>
      </c>
      <c r="BC59" s="595" t="e">
        <f>#REF!</f>
        <v>#REF!</v>
      </c>
    </row>
    <row r="60" spans="2:55" s="392" customFormat="1" ht="15" hidden="1" customHeight="1">
      <c r="B60" s="405" t="str">
        <f>'2.  Scheme Wide'!A170</f>
        <v>Utilities  potable and waste water</v>
      </c>
      <c r="C60" s="468"/>
      <c r="D60" s="476" t="e">
        <f t="shared" ref="D60:D66" si="23">SUM(F60:BC60)</f>
        <v>#REF!</v>
      </c>
      <c r="E60" s="460"/>
      <c r="F60" s="461" t="e">
        <f>#REF!</f>
        <v>#REF!</v>
      </c>
      <c r="G60" s="461" t="e">
        <f>#REF!</f>
        <v>#REF!</v>
      </c>
      <c r="H60" s="461" t="e">
        <f>#REF!</f>
        <v>#REF!</v>
      </c>
      <c r="I60" s="461" t="e">
        <f>#REF!</f>
        <v>#REF!</v>
      </c>
      <c r="J60" s="461" t="e">
        <f>#REF!</f>
        <v>#REF!</v>
      </c>
      <c r="K60" s="461" t="e">
        <f>#REF!</f>
        <v>#REF!</v>
      </c>
      <c r="L60" s="461" t="e">
        <f>#REF!</f>
        <v>#REF!</v>
      </c>
      <c r="M60" s="461" t="e">
        <f>#REF!</f>
        <v>#REF!</v>
      </c>
      <c r="N60" s="461" t="e">
        <f>#REF!</f>
        <v>#REF!</v>
      </c>
      <c r="O60" s="461" t="e">
        <f>#REF!</f>
        <v>#REF!</v>
      </c>
      <c r="P60" s="461" t="e">
        <f>#REF!</f>
        <v>#REF!</v>
      </c>
      <c r="Q60" s="461" t="e">
        <f>#REF!</f>
        <v>#REF!</v>
      </c>
      <c r="R60" s="461" t="e">
        <f>#REF!</f>
        <v>#REF!</v>
      </c>
      <c r="S60" s="461" t="e">
        <f>#REF!</f>
        <v>#REF!</v>
      </c>
      <c r="T60" s="461" t="e">
        <f>#REF!</f>
        <v>#REF!</v>
      </c>
      <c r="U60" s="461" t="e">
        <f>#REF!</f>
        <v>#REF!</v>
      </c>
      <c r="V60" s="461" t="e">
        <f>#REF!</f>
        <v>#REF!</v>
      </c>
      <c r="W60" s="461" t="e">
        <f>#REF!</f>
        <v>#REF!</v>
      </c>
      <c r="X60" s="461" t="e">
        <f>#REF!</f>
        <v>#REF!</v>
      </c>
      <c r="Y60" s="461" t="e">
        <f>#REF!</f>
        <v>#REF!</v>
      </c>
      <c r="Z60" s="461" t="e">
        <f>#REF!</f>
        <v>#REF!</v>
      </c>
      <c r="AA60" s="461" t="e">
        <f>#REF!</f>
        <v>#REF!</v>
      </c>
      <c r="AB60" s="461" t="e">
        <f>#REF!</f>
        <v>#REF!</v>
      </c>
      <c r="AC60" s="461" t="e">
        <f>#REF!</f>
        <v>#REF!</v>
      </c>
      <c r="AD60" s="461" t="e">
        <f>#REF!</f>
        <v>#REF!</v>
      </c>
      <c r="AE60" s="461" t="e">
        <f>#REF!</f>
        <v>#REF!</v>
      </c>
      <c r="AF60" s="461" t="e">
        <f>#REF!</f>
        <v>#REF!</v>
      </c>
      <c r="AG60" s="461" t="e">
        <f>#REF!</f>
        <v>#REF!</v>
      </c>
      <c r="AH60" s="461" t="e">
        <f>#REF!</f>
        <v>#REF!</v>
      </c>
      <c r="AI60" s="461" t="e">
        <f>#REF!</f>
        <v>#REF!</v>
      </c>
      <c r="AJ60" s="461" t="e">
        <f>#REF!</f>
        <v>#REF!</v>
      </c>
      <c r="AK60" s="461" t="e">
        <f>#REF!</f>
        <v>#REF!</v>
      </c>
      <c r="AL60" s="461" t="e">
        <f>#REF!</f>
        <v>#REF!</v>
      </c>
      <c r="AM60" s="461" t="e">
        <f>#REF!</f>
        <v>#REF!</v>
      </c>
      <c r="AN60" s="461" t="e">
        <f>#REF!</f>
        <v>#REF!</v>
      </c>
      <c r="AO60" s="461" t="e">
        <f>#REF!</f>
        <v>#REF!</v>
      </c>
      <c r="AP60" s="461" t="e">
        <f>#REF!</f>
        <v>#REF!</v>
      </c>
      <c r="AQ60" s="461" t="e">
        <f>#REF!</f>
        <v>#REF!</v>
      </c>
      <c r="AR60" s="461" t="e">
        <f>#REF!</f>
        <v>#REF!</v>
      </c>
      <c r="AS60" s="461" t="e">
        <f>#REF!</f>
        <v>#REF!</v>
      </c>
      <c r="AT60" s="461" t="e">
        <f>#REF!</f>
        <v>#REF!</v>
      </c>
      <c r="AU60" s="461" t="e">
        <f>#REF!</f>
        <v>#REF!</v>
      </c>
      <c r="AV60" s="461" t="e">
        <f>#REF!</f>
        <v>#REF!</v>
      </c>
      <c r="AW60" s="461" t="e">
        <f>#REF!</f>
        <v>#REF!</v>
      </c>
      <c r="AX60" s="461" t="e">
        <f>#REF!</f>
        <v>#REF!</v>
      </c>
      <c r="AY60" s="461" t="e">
        <f>#REF!</f>
        <v>#REF!</v>
      </c>
      <c r="AZ60" s="461" t="e">
        <f>#REF!</f>
        <v>#REF!</v>
      </c>
      <c r="BA60" s="461" t="e">
        <f>#REF!</f>
        <v>#REF!</v>
      </c>
      <c r="BB60" s="461" t="e">
        <f>#REF!</f>
        <v>#REF!</v>
      </c>
      <c r="BC60" s="595" t="e">
        <f>#REF!</f>
        <v>#REF!</v>
      </c>
    </row>
    <row r="61" spans="2:55" s="392" customFormat="1" ht="15" hidden="1" customHeight="1">
      <c r="B61" s="397" t="str">
        <f>'2.  Scheme Wide'!A171</f>
        <v>A2 and A4 Active Modes Copnnections to Rural Hionterland, Cycle Links</v>
      </c>
      <c r="C61" s="468"/>
      <c r="D61" s="476" t="e">
        <f t="shared" si="23"/>
        <v>#REF!</v>
      </c>
      <c r="E61" s="460"/>
      <c r="F61" s="461" t="e">
        <f>#REF!</f>
        <v>#REF!</v>
      </c>
      <c r="G61" s="461" t="e">
        <f>#REF!</f>
        <v>#REF!</v>
      </c>
      <c r="H61" s="461" t="e">
        <f>#REF!</f>
        <v>#REF!</v>
      </c>
      <c r="I61" s="461" t="e">
        <f>#REF!</f>
        <v>#REF!</v>
      </c>
      <c r="J61" s="461" t="e">
        <f>#REF!</f>
        <v>#REF!</v>
      </c>
      <c r="K61" s="461" t="e">
        <f>#REF!</f>
        <v>#REF!</v>
      </c>
      <c r="L61" s="461" t="e">
        <f>#REF!</f>
        <v>#REF!</v>
      </c>
      <c r="M61" s="461" t="e">
        <f>#REF!</f>
        <v>#REF!</v>
      </c>
      <c r="N61" s="461" t="e">
        <f>#REF!</f>
        <v>#REF!</v>
      </c>
      <c r="O61" s="461" t="e">
        <f>#REF!</f>
        <v>#REF!</v>
      </c>
      <c r="P61" s="461" t="e">
        <f>#REF!</f>
        <v>#REF!</v>
      </c>
      <c r="Q61" s="461" t="e">
        <f>#REF!</f>
        <v>#REF!</v>
      </c>
      <c r="R61" s="461" t="e">
        <f>#REF!</f>
        <v>#REF!</v>
      </c>
      <c r="S61" s="461" t="e">
        <f>#REF!</f>
        <v>#REF!</v>
      </c>
      <c r="T61" s="461" t="e">
        <f>#REF!</f>
        <v>#REF!</v>
      </c>
      <c r="U61" s="461" t="e">
        <f>#REF!</f>
        <v>#REF!</v>
      </c>
      <c r="V61" s="461" t="e">
        <f>#REF!</f>
        <v>#REF!</v>
      </c>
      <c r="W61" s="461" t="e">
        <f>#REF!</f>
        <v>#REF!</v>
      </c>
      <c r="X61" s="461" t="e">
        <f>#REF!</f>
        <v>#REF!</v>
      </c>
      <c r="Y61" s="461" t="e">
        <f>#REF!</f>
        <v>#REF!</v>
      </c>
      <c r="Z61" s="461" t="e">
        <f>#REF!</f>
        <v>#REF!</v>
      </c>
      <c r="AA61" s="461" t="e">
        <f>#REF!</f>
        <v>#REF!</v>
      </c>
      <c r="AB61" s="461" t="e">
        <f>#REF!</f>
        <v>#REF!</v>
      </c>
      <c r="AC61" s="461" t="e">
        <f>#REF!</f>
        <v>#REF!</v>
      </c>
      <c r="AD61" s="461" t="e">
        <f>#REF!</f>
        <v>#REF!</v>
      </c>
      <c r="AE61" s="461" t="e">
        <f>#REF!</f>
        <v>#REF!</v>
      </c>
      <c r="AF61" s="461" t="e">
        <f>#REF!</f>
        <v>#REF!</v>
      </c>
      <c r="AG61" s="461" t="e">
        <f>#REF!</f>
        <v>#REF!</v>
      </c>
      <c r="AH61" s="461" t="e">
        <f>#REF!</f>
        <v>#REF!</v>
      </c>
      <c r="AI61" s="461" t="e">
        <f>#REF!</f>
        <v>#REF!</v>
      </c>
      <c r="AJ61" s="461" t="e">
        <f>#REF!</f>
        <v>#REF!</v>
      </c>
      <c r="AK61" s="461" t="e">
        <f>#REF!</f>
        <v>#REF!</v>
      </c>
      <c r="AL61" s="461" t="e">
        <f>#REF!</f>
        <v>#REF!</v>
      </c>
      <c r="AM61" s="461" t="e">
        <f>#REF!</f>
        <v>#REF!</v>
      </c>
      <c r="AN61" s="461" t="e">
        <f>#REF!</f>
        <v>#REF!</v>
      </c>
      <c r="AO61" s="461" t="e">
        <f>#REF!</f>
        <v>#REF!</v>
      </c>
      <c r="AP61" s="461" t="e">
        <f>#REF!</f>
        <v>#REF!</v>
      </c>
      <c r="AQ61" s="461" t="e">
        <f>#REF!</f>
        <v>#REF!</v>
      </c>
      <c r="AR61" s="461" t="e">
        <f>#REF!</f>
        <v>#REF!</v>
      </c>
      <c r="AS61" s="461" t="e">
        <f>#REF!</f>
        <v>#REF!</v>
      </c>
      <c r="AT61" s="461" t="e">
        <f>#REF!</f>
        <v>#REF!</v>
      </c>
      <c r="AU61" s="461" t="e">
        <f>#REF!</f>
        <v>#REF!</v>
      </c>
      <c r="AV61" s="461" t="e">
        <f>#REF!</f>
        <v>#REF!</v>
      </c>
      <c r="AW61" s="461" t="e">
        <f>#REF!</f>
        <v>#REF!</v>
      </c>
      <c r="AX61" s="461" t="e">
        <f>#REF!</f>
        <v>#REF!</v>
      </c>
      <c r="AY61" s="461" t="e">
        <f>#REF!</f>
        <v>#REF!</v>
      </c>
      <c r="AZ61" s="461" t="e">
        <f>#REF!</f>
        <v>#REF!</v>
      </c>
      <c r="BA61" s="461" t="e">
        <f>#REF!</f>
        <v>#REF!</v>
      </c>
      <c r="BB61" s="461" t="e">
        <f>#REF!</f>
        <v>#REF!</v>
      </c>
      <c r="BC61" s="595" t="e">
        <f>#REF!</f>
        <v>#REF!</v>
      </c>
    </row>
    <row r="62" spans="2:55" s="392" customFormat="1" ht="15" hidden="1" customHeight="1">
      <c r="B62" s="482">
        <f>'2.  Scheme Wide'!A172</f>
        <v>0</v>
      </c>
      <c r="C62" s="468"/>
      <c r="D62" s="476" t="e">
        <f t="shared" si="23"/>
        <v>#REF!</v>
      </c>
      <c r="E62" s="460"/>
      <c r="F62" s="461" t="e">
        <f>#REF!</f>
        <v>#REF!</v>
      </c>
      <c r="G62" s="461" t="e">
        <f>#REF!</f>
        <v>#REF!</v>
      </c>
      <c r="H62" s="461" t="e">
        <f>#REF!</f>
        <v>#REF!</v>
      </c>
      <c r="I62" s="461" t="e">
        <f>#REF!</f>
        <v>#REF!</v>
      </c>
      <c r="J62" s="461" t="e">
        <f>#REF!</f>
        <v>#REF!</v>
      </c>
      <c r="K62" s="461" t="e">
        <f>#REF!</f>
        <v>#REF!</v>
      </c>
      <c r="L62" s="461" t="e">
        <f>#REF!</f>
        <v>#REF!</v>
      </c>
      <c r="M62" s="461" t="e">
        <f>#REF!</f>
        <v>#REF!</v>
      </c>
      <c r="N62" s="461" t="e">
        <f>#REF!</f>
        <v>#REF!</v>
      </c>
      <c r="O62" s="461" t="e">
        <f>#REF!</f>
        <v>#REF!</v>
      </c>
      <c r="P62" s="461" t="e">
        <f>#REF!</f>
        <v>#REF!</v>
      </c>
      <c r="Q62" s="461" t="e">
        <f>#REF!</f>
        <v>#REF!</v>
      </c>
      <c r="R62" s="461" t="e">
        <f>#REF!</f>
        <v>#REF!</v>
      </c>
      <c r="S62" s="461" t="e">
        <f>#REF!</f>
        <v>#REF!</v>
      </c>
      <c r="T62" s="461" t="e">
        <f>#REF!</f>
        <v>#REF!</v>
      </c>
      <c r="U62" s="461" t="e">
        <f>#REF!</f>
        <v>#REF!</v>
      </c>
      <c r="V62" s="461" t="e">
        <f>#REF!</f>
        <v>#REF!</v>
      </c>
      <c r="W62" s="461" t="e">
        <f>#REF!</f>
        <v>#REF!</v>
      </c>
      <c r="X62" s="461" t="e">
        <f>#REF!</f>
        <v>#REF!</v>
      </c>
      <c r="Y62" s="461" t="e">
        <f>#REF!</f>
        <v>#REF!</v>
      </c>
      <c r="Z62" s="461" t="e">
        <f>#REF!</f>
        <v>#REF!</v>
      </c>
      <c r="AA62" s="461" t="e">
        <f>#REF!</f>
        <v>#REF!</v>
      </c>
      <c r="AB62" s="461" t="e">
        <f>#REF!</f>
        <v>#REF!</v>
      </c>
      <c r="AC62" s="461" t="e">
        <f>#REF!</f>
        <v>#REF!</v>
      </c>
      <c r="AD62" s="461" t="e">
        <f>#REF!</f>
        <v>#REF!</v>
      </c>
      <c r="AE62" s="461" t="e">
        <f>#REF!</f>
        <v>#REF!</v>
      </c>
      <c r="AF62" s="461" t="e">
        <f>#REF!</f>
        <v>#REF!</v>
      </c>
      <c r="AG62" s="461" t="e">
        <f>#REF!</f>
        <v>#REF!</v>
      </c>
      <c r="AH62" s="461" t="e">
        <f>#REF!</f>
        <v>#REF!</v>
      </c>
      <c r="AI62" s="461" t="e">
        <f>#REF!</f>
        <v>#REF!</v>
      </c>
      <c r="AJ62" s="461" t="e">
        <f>#REF!</f>
        <v>#REF!</v>
      </c>
      <c r="AK62" s="461" t="e">
        <f>#REF!</f>
        <v>#REF!</v>
      </c>
      <c r="AL62" s="461" t="e">
        <f>#REF!</f>
        <v>#REF!</v>
      </c>
      <c r="AM62" s="461" t="e">
        <f>#REF!</f>
        <v>#REF!</v>
      </c>
      <c r="AN62" s="461" t="e">
        <f>#REF!</f>
        <v>#REF!</v>
      </c>
      <c r="AO62" s="461" t="e">
        <f>#REF!</f>
        <v>#REF!</v>
      </c>
      <c r="AP62" s="461" t="e">
        <f>#REF!</f>
        <v>#REF!</v>
      </c>
      <c r="AQ62" s="461" t="e">
        <f>#REF!</f>
        <v>#REF!</v>
      </c>
      <c r="AR62" s="461" t="e">
        <f>#REF!</f>
        <v>#REF!</v>
      </c>
      <c r="AS62" s="461" t="e">
        <f>#REF!</f>
        <v>#REF!</v>
      </c>
      <c r="AT62" s="461" t="e">
        <f>#REF!</f>
        <v>#REF!</v>
      </c>
      <c r="AU62" s="461" t="e">
        <f>#REF!</f>
        <v>#REF!</v>
      </c>
      <c r="AV62" s="461" t="e">
        <f>#REF!</f>
        <v>#REF!</v>
      </c>
      <c r="AW62" s="461" t="e">
        <f>#REF!</f>
        <v>#REF!</v>
      </c>
      <c r="AX62" s="461" t="e">
        <f>#REF!</f>
        <v>#REF!</v>
      </c>
      <c r="AY62" s="461" t="e">
        <f>#REF!</f>
        <v>#REF!</v>
      </c>
      <c r="AZ62" s="461" t="e">
        <f>#REF!</f>
        <v>#REF!</v>
      </c>
      <c r="BA62" s="461" t="e">
        <f>#REF!</f>
        <v>#REF!</v>
      </c>
      <c r="BB62" s="461" t="e">
        <f>#REF!</f>
        <v>#REF!</v>
      </c>
      <c r="BC62" s="595" t="e">
        <f>#REF!</f>
        <v>#REF!</v>
      </c>
    </row>
    <row r="63" spans="2:55" s="406" customFormat="1" ht="15" hidden="1" customHeight="1">
      <c r="B63" s="482" t="str">
        <f>'2.  Scheme Wide'!A173</f>
        <v>PR1 &amp; PR2 Marks Tey station and junciton package &amp; Stane Street reduction</v>
      </c>
      <c r="C63" s="468"/>
      <c r="D63" s="476" t="e">
        <f t="shared" si="23"/>
        <v>#REF!</v>
      </c>
      <c r="E63" s="460"/>
      <c r="F63" s="461" t="e">
        <f>#REF!</f>
        <v>#REF!</v>
      </c>
      <c r="G63" s="461" t="e">
        <f>#REF!</f>
        <v>#REF!</v>
      </c>
      <c r="H63" s="461" t="e">
        <f>#REF!</f>
        <v>#REF!</v>
      </c>
      <c r="I63" s="461" t="e">
        <f>#REF!</f>
        <v>#REF!</v>
      </c>
      <c r="J63" s="461" t="e">
        <f>#REF!</f>
        <v>#REF!</v>
      </c>
      <c r="K63" s="461" t="e">
        <f>#REF!</f>
        <v>#REF!</v>
      </c>
      <c r="L63" s="461" t="e">
        <f>#REF!</f>
        <v>#REF!</v>
      </c>
      <c r="M63" s="461" t="e">
        <f>#REF!</f>
        <v>#REF!</v>
      </c>
      <c r="N63" s="461" t="e">
        <f>#REF!</f>
        <v>#REF!</v>
      </c>
      <c r="O63" s="461" t="e">
        <f>#REF!</f>
        <v>#REF!</v>
      </c>
      <c r="P63" s="461" t="e">
        <f>#REF!</f>
        <v>#REF!</v>
      </c>
      <c r="Q63" s="461" t="e">
        <f>#REF!</f>
        <v>#REF!</v>
      </c>
      <c r="R63" s="461" t="e">
        <f>#REF!</f>
        <v>#REF!</v>
      </c>
      <c r="S63" s="461" t="e">
        <f>#REF!</f>
        <v>#REF!</v>
      </c>
      <c r="T63" s="461" t="e">
        <f>#REF!</f>
        <v>#REF!</v>
      </c>
      <c r="U63" s="461" t="e">
        <f>#REF!</f>
        <v>#REF!</v>
      </c>
      <c r="V63" s="461" t="e">
        <f>#REF!</f>
        <v>#REF!</v>
      </c>
      <c r="W63" s="461" t="e">
        <f>#REF!</f>
        <v>#REF!</v>
      </c>
      <c r="X63" s="461" t="e">
        <f>#REF!</f>
        <v>#REF!</v>
      </c>
      <c r="Y63" s="461" t="e">
        <f>#REF!</f>
        <v>#REF!</v>
      </c>
      <c r="Z63" s="461" t="e">
        <f>#REF!</f>
        <v>#REF!</v>
      </c>
      <c r="AA63" s="461" t="e">
        <f>#REF!</f>
        <v>#REF!</v>
      </c>
      <c r="AB63" s="461" t="e">
        <f>#REF!</f>
        <v>#REF!</v>
      </c>
      <c r="AC63" s="461" t="e">
        <f>#REF!</f>
        <v>#REF!</v>
      </c>
      <c r="AD63" s="461" t="e">
        <f>#REF!</f>
        <v>#REF!</v>
      </c>
      <c r="AE63" s="461" t="e">
        <f>#REF!</f>
        <v>#REF!</v>
      </c>
      <c r="AF63" s="461" t="e">
        <f>#REF!</f>
        <v>#REF!</v>
      </c>
      <c r="AG63" s="461" t="e">
        <f>#REF!</f>
        <v>#REF!</v>
      </c>
      <c r="AH63" s="461" t="e">
        <f>#REF!</f>
        <v>#REF!</v>
      </c>
      <c r="AI63" s="461" t="e">
        <f>#REF!</f>
        <v>#REF!</v>
      </c>
      <c r="AJ63" s="461" t="e">
        <f>#REF!</f>
        <v>#REF!</v>
      </c>
      <c r="AK63" s="461" t="e">
        <f>#REF!</f>
        <v>#REF!</v>
      </c>
      <c r="AL63" s="461" t="e">
        <f>#REF!</f>
        <v>#REF!</v>
      </c>
      <c r="AM63" s="461" t="e">
        <f>#REF!</f>
        <v>#REF!</v>
      </c>
      <c r="AN63" s="461" t="e">
        <f>#REF!</f>
        <v>#REF!</v>
      </c>
      <c r="AO63" s="461" t="e">
        <f>#REF!</f>
        <v>#REF!</v>
      </c>
      <c r="AP63" s="461" t="e">
        <f>#REF!</f>
        <v>#REF!</v>
      </c>
      <c r="AQ63" s="461" t="e">
        <f>#REF!</f>
        <v>#REF!</v>
      </c>
      <c r="AR63" s="461" t="e">
        <f>#REF!</f>
        <v>#REF!</v>
      </c>
      <c r="AS63" s="461" t="e">
        <f>#REF!</f>
        <v>#REF!</v>
      </c>
      <c r="AT63" s="461" t="e">
        <f>#REF!</f>
        <v>#REF!</v>
      </c>
      <c r="AU63" s="461" t="e">
        <f>#REF!</f>
        <v>#REF!</v>
      </c>
      <c r="AV63" s="461" t="e">
        <f>#REF!</f>
        <v>#REF!</v>
      </c>
      <c r="AW63" s="461" t="e">
        <f>#REF!</f>
        <v>#REF!</v>
      </c>
      <c r="AX63" s="461" t="e">
        <f>#REF!</f>
        <v>#REF!</v>
      </c>
      <c r="AY63" s="461" t="e">
        <f>#REF!</f>
        <v>#REF!</v>
      </c>
      <c r="AZ63" s="461" t="e">
        <f>#REF!</f>
        <v>#REF!</v>
      </c>
      <c r="BA63" s="461" t="e">
        <f>#REF!</f>
        <v>#REF!</v>
      </c>
      <c r="BB63" s="461" t="e">
        <f>#REF!</f>
        <v>#REF!</v>
      </c>
      <c r="BC63" s="595" t="e">
        <f>#REF!</f>
        <v>#REF!</v>
      </c>
    </row>
    <row r="64" spans="2:55" s="392" customFormat="1" ht="15" hidden="1" customHeight="1">
      <c r="B64" s="482" t="str">
        <f>'2.  Scheme Wide'!A174</f>
        <v>R2 A12 Zouthern junction with garden commuity</v>
      </c>
      <c r="C64" s="468"/>
      <c r="D64" s="476" t="e">
        <f t="shared" si="23"/>
        <v>#REF!</v>
      </c>
      <c r="E64" s="460"/>
      <c r="F64" s="461" t="e">
        <f>#REF!</f>
        <v>#REF!</v>
      </c>
      <c r="G64" s="461" t="e">
        <f>#REF!</f>
        <v>#REF!</v>
      </c>
      <c r="H64" s="461" t="e">
        <f>#REF!</f>
        <v>#REF!</v>
      </c>
      <c r="I64" s="461" t="e">
        <f>#REF!</f>
        <v>#REF!</v>
      </c>
      <c r="J64" s="461" t="e">
        <f>#REF!</f>
        <v>#REF!</v>
      </c>
      <c r="K64" s="461" t="e">
        <f>#REF!</f>
        <v>#REF!</v>
      </c>
      <c r="L64" s="461" t="e">
        <f>#REF!</f>
        <v>#REF!</v>
      </c>
      <c r="M64" s="461" t="e">
        <f>#REF!</f>
        <v>#REF!</v>
      </c>
      <c r="N64" s="461" t="e">
        <f>#REF!</f>
        <v>#REF!</v>
      </c>
      <c r="O64" s="461" t="e">
        <f>#REF!</f>
        <v>#REF!</v>
      </c>
      <c r="P64" s="461" t="e">
        <f>#REF!</f>
        <v>#REF!</v>
      </c>
      <c r="Q64" s="461" t="e">
        <f>#REF!</f>
        <v>#REF!</v>
      </c>
      <c r="R64" s="461" t="e">
        <f>#REF!</f>
        <v>#REF!</v>
      </c>
      <c r="S64" s="461" t="e">
        <f>#REF!</f>
        <v>#REF!</v>
      </c>
      <c r="T64" s="461" t="e">
        <f>#REF!</f>
        <v>#REF!</v>
      </c>
      <c r="U64" s="461" t="e">
        <f>#REF!</f>
        <v>#REF!</v>
      </c>
      <c r="V64" s="461" t="e">
        <f>#REF!</f>
        <v>#REF!</v>
      </c>
      <c r="W64" s="461" t="e">
        <f>#REF!</f>
        <v>#REF!</v>
      </c>
      <c r="X64" s="461" t="e">
        <f>#REF!</f>
        <v>#REF!</v>
      </c>
      <c r="Y64" s="461" t="e">
        <f>#REF!</f>
        <v>#REF!</v>
      </c>
      <c r="Z64" s="461" t="e">
        <f>#REF!</f>
        <v>#REF!</v>
      </c>
      <c r="AA64" s="461" t="e">
        <f>#REF!</f>
        <v>#REF!</v>
      </c>
      <c r="AB64" s="461" t="e">
        <f>#REF!</f>
        <v>#REF!</v>
      </c>
      <c r="AC64" s="461" t="e">
        <f>#REF!</f>
        <v>#REF!</v>
      </c>
      <c r="AD64" s="461" t="e">
        <f>#REF!</f>
        <v>#REF!</v>
      </c>
      <c r="AE64" s="461" t="e">
        <f>#REF!</f>
        <v>#REF!</v>
      </c>
      <c r="AF64" s="461" t="e">
        <f>#REF!</f>
        <v>#REF!</v>
      </c>
      <c r="AG64" s="461" t="e">
        <f>#REF!</f>
        <v>#REF!</v>
      </c>
      <c r="AH64" s="461" t="e">
        <f>#REF!</f>
        <v>#REF!</v>
      </c>
      <c r="AI64" s="461" t="e">
        <f>#REF!</f>
        <v>#REF!</v>
      </c>
      <c r="AJ64" s="461" t="e">
        <f>#REF!</f>
        <v>#REF!</v>
      </c>
      <c r="AK64" s="461" t="e">
        <f>#REF!</f>
        <v>#REF!</v>
      </c>
      <c r="AL64" s="461" t="e">
        <f>#REF!</f>
        <v>#REF!</v>
      </c>
      <c r="AM64" s="461" t="e">
        <f>#REF!</f>
        <v>#REF!</v>
      </c>
      <c r="AN64" s="461" t="e">
        <f>#REF!</f>
        <v>#REF!</v>
      </c>
      <c r="AO64" s="461" t="e">
        <f>#REF!</f>
        <v>#REF!</v>
      </c>
      <c r="AP64" s="461" t="e">
        <f>#REF!</f>
        <v>#REF!</v>
      </c>
      <c r="AQ64" s="461" t="e">
        <f>#REF!</f>
        <v>#REF!</v>
      </c>
      <c r="AR64" s="461" t="e">
        <f>#REF!</f>
        <v>#REF!</v>
      </c>
      <c r="AS64" s="461" t="e">
        <f>#REF!</f>
        <v>#REF!</v>
      </c>
      <c r="AT64" s="461" t="e">
        <f>#REF!</f>
        <v>#REF!</v>
      </c>
      <c r="AU64" s="461" t="e">
        <f>#REF!</f>
        <v>#REF!</v>
      </c>
      <c r="AV64" s="461" t="e">
        <f>#REF!</f>
        <v>#REF!</v>
      </c>
      <c r="AW64" s="461" t="e">
        <f>#REF!</f>
        <v>#REF!</v>
      </c>
      <c r="AX64" s="461" t="e">
        <f>#REF!</f>
        <v>#REF!</v>
      </c>
      <c r="AY64" s="461" t="e">
        <f>#REF!</f>
        <v>#REF!</v>
      </c>
      <c r="AZ64" s="461" t="e">
        <f>#REF!</f>
        <v>#REF!</v>
      </c>
      <c r="BA64" s="461" t="e">
        <f>#REF!</f>
        <v>#REF!</v>
      </c>
      <c r="BB64" s="461" t="e">
        <f>#REF!</f>
        <v>#REF!</v>
      </c>
      <c r="BC64" s="595" t="e">
        <f>#REF!</f>
        <v>#REF!</v>
      </c>
    </row>
    <row r="65" spans="1:55" s="392" customFormat="1" ht="15" hidden="1" customHeight="1">
      <c r="B65" s="482" t="str">
        <f>'2.  Scheme Wide'!A175</f>
        <v>R1 - A120/B1256 New Western Junction</v>
      </c>
      <c r="C65" s="468"/>
      <c r="D65" s="476" t="e">
        <f t="shared" si="23"/>
        <v>#REF!</v>
      </c>
      <c r="E65" s="460"/>
      <c r="F65" s="461" t="e">
        <f>#REF!</f>
        <v>#REF!</v>
      </c>
      <c r="G65" s="461" t="e">
        <f>#REF!</f>
        <v>#REF!</v>
      </c>
      <c r="H65" s="461" t="e">
        <f>#REF!</f>
        <v>#REF!</v>
      </c>
      <c r="I65" s="461" t="e">
        <f>#REF!</f>
        <v>#REF!</v>
      </c>
      <c r="J65" s="461" t="e">
        <f>#REF!</f>
        <v>#REF!</v>
      </c>
      <c r="K65" s="461" t="e">
        <f>#REF!</f>
        <v>#REF!</v>
      </c>
      <c r="L65" s="461" t="e">
        <f>#REF!</f>
        <v>#REF!</v>
      </c>
      <c r="M65" s="461" t="e">
        <f>#REF!</f>
        <v>#REF!</v>
      </c>
      <c r="N65" s="461" t="e">
        <f>#REF!</f>
        <v>#REF!</v>
      </c>
      <c r="O65" s="461" t="e">
        <f>#REF!</f>
        <v>#REF!</v>
      </c>
      <c r="P65" s="461" t="e">
        <f>#REF!</f>
        <v>#REF!</v>
      </c>
      <c r="Q65" s="461" t="e">
        <f>#REF!</f>
        <v>#REF!</v>
      </c>
      <c r="R65" s="461" t="e">
        <f>#REF!</f>
        <v>#REF!</v>
      </c>
      <c r="S65" s="461" t="e">
        <f>#REF!</f>
        <v>#REF!</v>
      </c>
      <c r="T65" s="461" t="e">
        <f>#REF!</f>
        <v>#REF!</v>
      </c>
      <c r="U65" s="461" t="e">
        <f>#REF!</f>
        <v>#REF!</v>
      </c>
      <c r="V65" s="461" t="e">
        <f>#REF!</f>
        <v>#REF!</v>
      </c>
      <c r="W65" s="461" t="e">
        <f>#REF!</f>
        <v>#REF!</v>
      </c>
      <c r="X65" s="461" t="e">
        <f>#REF!</f>
        <v>#REF!</v>
      </c>
      <c r="Y65" s="461" t="e">
        <f>#REF!</f>
        <v>#REF!</v>
      </c>
      <c r="Z65" s="461" t="e">
        <f>#REF!</f>
        <v>#REF!</v>
      </c>
      <c r="AA65" s="461" t="e">
        <f>#REF!</f>
        <v>#REF!</v>
      </c>
      <c r="AB65" s="461" t="e">
        <f>#REF!</f>
        <v>#REF!</v>
      </c>
      <c r="AC65" s="461" t="e">
        <f>#REF!</f>
        <v>#REF!</v>
      </c>
      <c r="AD65" s="461" t="e">
        <f>#REF!</f>
        <v>#REF!</v>
      </c>
      <c r="AE65" s="461" t="e">
        <f>#REF!</f>
        <v>#REF!</v>
      </c>
      <c r="AF65" s="461" t="e">
        <f>#REF!</f>
        <v>#REF!</v>
      </c>
      <c r="AG65" s="461" t="e">
        <f>#REF!</f>
        <v>#REF!</v>
      </c>
      <c r="AH65" s="461" t="e">
        <f>#REF!</f>
        <v>#REF!</v>
      </c>
      <c r="AI65" s="461" t="e">
        <f>#REF!</f>
        <v>#REF!</v>
      </c>
      <c r="AJ65" s="461" t="e">
        <f>#REF!</f>
        <v>#REF!</v>
      </c>
      <c r="AK65" s="461" t="e">
        <f>#REF!</f>
        <v>#REF!</v>
      </c>
      <c r="AL65" s="461" t="e">
        <f>#REF!</f>
        <v>#REF!</v>
      </c>
      <c r="AM65" s="461" t="e">
        <f>#REF!</f>
        <v>#REF!</v>
      </c>
      <c r="AN65" s="461" t="e">
        <f>#REF!</f>
        <v>#REF!</v>
      </c>
      <c r="AO65" s="461" t="e">
        <f>#REF!</f>
        <v>#REF!</v>
      </c>
      <c r="AP65" s="461" t="e">
        <f>#REF!</f>
        <v>#REF!</v>
      </c>
      <c r="AQ65" s="461" t="e">
        <f>#REF!</f>
        <v>#REF!</v>
      </c>
      <c r="AR65" s="461" t="e">
        <f>#REF!</f>
        <v>#REF!</v>
      </c>
      <c r="AS65" s="461" t="e">
        <f>#REF!</f>
        <v>#REF!</v>
      </c>
      <c r="AT65" s="461" t="e">
        <f>#REF!</f>
        <v>#REF!</v>
      </c>
      <c r="AU65" s="461" t="e">
        <f>#REF!</f>
        <v>#REF!</v>
      </c>
      <c r="AV65" s="461" t="e">
        <f>#REF!</f>
        <v>#REF!</v>
      </c>
      <c r="AW65" s="461" t="e">
        <f>#REF!</f>
        <v>#REF!</v>
      </c>
      <c r="AX65" s="461" t="e">
        <f>#REF!</f>
        <v>#REF!</v>
      </c>
      <c r="AY65" s="461" t="e">
        <f>#REF!</f>
        <v>#REF!</v>
      </c>
      <c r="AZ65" s="461" t="e">
        <f>#REF!</f>
        <v>#REF!</v>
      </c>
      <c r="BA65" s="461" t="e">
        <f>#REF!</f>
        <v>#REF!</v>
      </c>
      <c r="BB65" s="461" t="e">
        <f>#REF!</f>
        <v>#REF!</v>
      </c>
      <c r="BC65" s="595" t="e">
        <f>#REF!</f>
        <v>#REF!</v>
      </c>
    </row>
    <row r="66" spans="1:55" s="392" customFormat="1" ht="15" hidden="1" customHeight="1">
      <c r="B66" s="482" t="str">
        <f>'2.  Scheme Wide'!A176</f>
        <v>Conteribution to A120 £1500 per unit</v>
      </c>
      <c r="C66" s="468"/>
      <c r="D66" s="476" t="e">
        <f t="shared" si="23"/>
        <v>#REF!</v>
      </c>
      <c r="E66" s="460"/>
      <c r="F66" s="461" t="e">
        <f>#REF!</f>
        <v>#REF!</v>
      </c>
      <c r="G66" s="461" t="e">
        <f>#REF!</f>
        <v>#REF!</v>
      </c>
      <c r="H66" s="461" t="e">
        <f>#REF!</f>
        <v>#REF!</v>
      </c>
      <c r="I66" s="461" t="e">
        <f>#REF!</f>
        <v>#REF!</v>
      </c>
      <c r="J66" s="461" t="e">
        <f>#REF!</f>
        <v>#REF!</v>
      </c>
      <c r="K66" s="461" t="e">
        <f>#REF!</f>
        <v>#REF!</v>
      </c>
      <c r="L66" s="461" t="e">
        <f>#REF!</f>
        <v>#REF!</v>
      </c>
      <c r="M66" s="461" t="e">
        <f>#REF!</f>
        <v>#REF!</v>
      </c>
      <c r="N66" s="461" t="e">
        <f>#REF!</f>
        <v>#REF!</v>
      </c>
      <c r="O66" s="461" t="e">
        <f>#REF!</f>
        <v>#REF!</v>
      </c>
      <c r="P66" s="461" t="e">
        <f>#REF!</f>
        <v>#REF!</v>
      </c>
      <c r="Q66" s="461" t="e">
        <f>#REF!</f>
        <v>#REF!</v>
      </c>
      <c r="R66" s="461" t="e">
        <f>#REF!</f>
        <v>#REF!</v>
      </c>
      <c r="S66" s="461" t="e">
        <f>#REF!</f>
        <v>#REF!</v>
      </c>
      <c r="T66" s="461" t="e">
        <f>#REF!</f>
        <v>#REF!</v>
      </c>
      <c r="U66" s="461" t="e">
        <f>#REF!</f>
        <v>#REF!</v>
      </c>
      <c r="V66" s="461" t="e">
        <f>#REF!</f>
        <v>#REF!</v>
      </c>
      <c r="W66" s="461" t="e">
        <f>#REF!</f>
        <v>#REF!</v>
      </c>
      <c r="X66" s="461" t="e">
        <f>#REF!</f>
        <v>#REF!</v>
      </c>
      <c r="Y66" s="461" t="e">
        <f>#REF!</f>
        <v>#REF!</v>
      </c>
      <c r="Z66" s="461" t="e">
        <f>#REF!</f>
        <v>#REF!</v>
      </c>
      <c r="AA66" s="461" t="e">
        <f>#REF!</f>
        <v>#REF!</v>
      </c>
      <c r="AB66" s="461" t="e">
        <f>#REF!</f>
        <v>#REF!</v>
      </c>
      <c r="AC66" s="461" t="e">
        <f>#REF!</f>
        <v>#REF!</v>
      </c>
      <c r="AD66" s="461" t="e">
        <f>#REF!</f>
        <v>#REF!</v>
      </c>
      <c r="AE66" s="461" t="e">
        <f>#REF!</f>
        <v>#REF!</v>
      </c>
      <c r="AF66" s="461" t="e">
        <f>#REF!</f>
        <v>#REF!</v>
      </c>
      <c r="AG66" s="461" t="e">
        <f>#REF!</f>
        <v>#REF!</v>
      </c>
      <c r="AH66" s="461" t="e">
        <f>#REF!</f>
        <v>#REF!</v>
      </c>
      <c r="AI66" s="461" t="e">
        <f>#REF!</f>
        <v>#REF!</v>
      </c>
      <c r="AJ66" s="461" t="e">
        <f>#REF!</f>
        <v>#REF!</v>
      </c>
      <c r="AK66" s="461" t="e">
        <f>#REF!</f>
        <v>#REF!</v>
      </c>
      <c r="AL66" s="461" t="e">
        <f>#REF!</f>
        <v>#REF!</v>
      </c>
      <c r="AM66" s="461" t="e">
        <f>#REF!</f>
        <v>#REF!</v>
      </c>
      <c r="AN66" s="461" t="e">
        <f>#REF!</f>
        <v>#REF!</v>
      </c>
      <c r="AO66" s="461" t="e">
        <f>#REF!</f>
        <v>#REF!</v>
      </c>
      <c r="AP66" s="461" t="e">
        <f>#REF!</f>
        <v>#REF!</v>
      </c>
      <c r="AQ66" s="461" t="e">
        <f>#REF!</f>
        <v>#REF!</v>
      </c>
      <c r="AR66" s="461" t="e">
        <f>#REF!</f>
        <v>#REF!</v>
      </c>
      <c r="AS66" s="461" t="e">
        <f>#REF!</f>
        <v>#REF!</v>
      </c>
      <c r="AT66" s="461" t="e">
        <f>#REF!</f>
        <v>#REF!</v>
      </c>
      <c r="AU66" s="461" t="e">
        <f>#REF!</f>
        <v>#REF!</v>
      </c>
      <c r="AV66" s="461" t="e">
        <f>#REF!</f>
        <v>#REF!</v>
      </c>
      <c r="AW66" s="461" t="e">
        <f>#REF!</f>
        <v>#REF!</v>
      </c>
      <c r="AX66" s="461" t="e">
        <f>#REF!</f>
        <v>#REF!</v>
      </c>
      <c r="AY66" s="461" t="e">
        <f>#REF!</f>
        <v>#REF!</v>
      </c>
      <c r="AZ66" s="461" t="e">
        <f>#REF!</f>
        <v>#REF!</v>
      </c>
      <c r="BA66" s="461" t="e">
        <f>#REF!</f>
        <v>#REF!</v>
      </c>
      <c r="BB66" s="461" t="e">
        <f>#REF!</f>
        <v>#REF!</v>
      </c>
      <c r="BC66" s="595" t="e">
        <f>#REF!</f>
        <v>#REF!</v>
      </c>
    </row>
    <row r="67" spans="1:55" s="392" customFormat="1" ht="15" hidden="1" customHeight="1">
      <c r="B67" s="394" t="s">
        <v>269</v>
      </c>
      <c r="C67" s="478"/>
      <c r="D67" s="479"/>
      <c r="E67" s="456"/>
      <c r="F67" s="480"/>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1"/>
      <c r="AJ67" s="481"/>
      <c r="AK67" s="481"/>
      <c r="AL67" s="481"/>
      <c r="AM67" s="481"/>
      <c r="AN67" s="481"/>
      <c r="AO67" s="481"/>
      <c r="AP67" s="481"/>
      <c r="AQ67" s="481"/>
      <c r="AR67" s="481"/>
      <c r="AS67" s="481"/>
      <c r="AT67" s="481"/>
      <c r="AU67" s="481"/>
      <c r="AV67" s="481"/>
      <c r="AW67" s="481"/>
      <c r="AX67" s="481"/>
      <c r="AY67" s="481"/>
      <c r="AZ67" s="481"/>
      <c r="BA67" s="481"/>
      <c r="BB67" s="481"/>
      <c r="BC67" s="598"/>
    </row>
    <row r="68" spans="1:55" s="392" customFormat="1" ht="15" hidden="1" customHeight="1">
      <c r="B68" s="405" t="str">
        <f>'2.  Scheme Wide'!A180</f>
        <v>Open Space Endowments</v>
      </c>
      <c r="C68" s="468"/>
      <c r="D68" s="476" t="e">
        <f>SUM(F68:BC68)</f>
        <v>#REF!</v>
      </c>
      <c r="E68" s="460"/>
      <c r="F68" s="461" t="e">
        <f>#REF!</f>
        <v>#REF!</v>
      </c>
      <c r="G68" s="461" t="e">
        <f>#REF!</f>
        <v>#REF!</v>
      </c>
      <c r="H68" s="461" t="e">
        <f>#REF!</f>
        <v>#REF!</v>
      </c>
      <c r="I68" s="461" t="e">
        <f>#REF!</f>
        <v>#REF!</v>
      </c>
      <c r="J68" s="461" t="e">
        <f>#REF!</f>
        <v>#REF!</v>
      </c>
      <c r="K68" s="461" t="e">
        <f>#REF!</f>
        <v>#REF!</v>
      </c>
      <c r="L68" s="461" t="e">
        <f>#REF!</f>
        <v>#REF!</v>
      </c>
      <c r="M68" s="461" t="e">
        <f>#REF!</f>
        <v>#REF!</v>
      </c>
      <c r="N68" s="461" t="e">
        <f>#REF!</f>
        <v>#REF!</v>
      </c>
      <c r="O68" s="461" t="e">
        <f>#REF!</f>
        <v>#REF!</v>
      </c>
      <c r="P68" s="461" t="e">
        <f>#REF!</f>
        <v>#REF!</v>
      </c>
      <c r="Q68" s="461" t="e">
        <f>#REF!</f>
        <v>#REF!</v>
      </c>
      <c r="R68" s="461" t="e">
        <f>#REF!</f>
        <v>#REF!</v>
      </c>
      <c r="S68" s="461" t="e">
        <f>#REF!</f>
        <v>#REF!</v>
      </c>
      <c r="T68" s="461" t="e">
        <f>#REF!</f>
        <v>#REF!</v>
      </c>
      <c r="U68" s="461" t="e">
        <f>#REF!</f>
        <v>#REF!</v>
      </c>
      <c r="V68" s="461" t="e">
        <f>#REF!</f>
        <v>#REF!</v>
      </c>
      <c r="W68" s="461" t="e">
        <f>#REF!</f>
        <v>#REF!</v>
      </c>
      <c r="X68" s="461" t="e">
        <f>#REF!</f>
        <v>#REF!</v>
      </c>
      <c r="Y68" s="461" t="e">
        <f>#REF!</f>
        <v>#REF!</v>
      </c>
      <c r="Z68" s="461" t="e">
        <f>#REF!</f>
        <v>#REF!</v>
      </c>
      <c r="AA68" s="461" t="e">
        <f>#REF!</f>
        <v>#REF!</v>
      </c>
      <c r="AB68" s="461" t="e">
        <f>#REF!</f>
        <v>#REF!</v>
      </c>
      <c r="AC68" s="461" t="e">
        <f>#REF!</f>
        <v>#REF!</v>
      </c>
      <c r="AD68" s="461" t="e">
        <f>#REF!</f>
        <v>#REF!</v>
      </c>
      <c r="AE68" s="461" t="e">
        <f>#REF!</f>
        <v>#REF!</v>
      </c>
      <c r="AF68" s="461" t="e">
        <f>#REF!</f>
        <v>#REF!</v>
      </c>
      <c r="AG68" s="461" t="e">
        <f>#REF!</f>
        <v>#REF!</v>
      </c>
      <c r="AH68" s="461" t="e">
        <f>#REF!</f>
        <v>#REF!</v>
      </c>
      <c r="AI68" s="461" t="e">
        <f>#REF!</f>
        <v>#REF!</v>
      </c>
      <c r="AJ68" s="461" t="e">
        <f>#REF!</f>
        <v>#REF!</v>
      </c>
      <c r="AK68" s="461" t="e">
        <f>#REF!</f>
        <v>#REF!</v>
      </c>
      <c r="AL68" s="461" t="e">
        <f>#REF!</f>
        <v>#REF!</v>
      </c>
      <c r="AM68" s="461" t="e">
        <f>#REF!</f>
        <v>#REF!</v>
      </c>
      <c r="AN68" s="461" t="e">
        <f>#REF!</f>
        <v>#REF!</v>
      </c>
      <c r="AO68" s="461" t="e">
        <f>#REF!</f>
        <v>#REF!</v>
      </c>
      <c r="AP68" s="461" t="e">
        <f>#REF!</f>
        <v>#REF!</v>
      </c>
      <c r="AQ68" s="461" t="e">
        <f>#REF!</f>
        <v>#REF!</v>
      </c>
      <c r="AR68" s="461" t="e">
        <f>#REF!</f>
        <v>#REF!</v>
      </c>
      <c r="AS68" s="461" t="e">
        <f>#REF!</f>
        <v>#REF!</v>
      </c>
      <c r="AT68" s="461" t="e">
        <f>#REF!</f>
        <v>#REF!</v>
      </c>
      <c r="AU68" s="461" t="e">
        <f>#REF!</f>
        <v>#REF!</v>
      </c>
      <c r="AV68" s="461" t="e">
        <f>#REF!</f>
        <v>#REF!</v>
      </c>
      <c r="AW68" s="461" t="e">
        <f>#REF!</f>
        <v>#REF!</v>
      </c>
      <c r="AX68" s="461" t="e">
        <f>#REF!</f>
        <v>#REF!</v>
      </c>
      <c r="AY68" s="461" t="e">
        <f>#REF!</f>
        <v>#REF!</v>
      </c>
      <c r="AZ68" s="461" t="e">
        <f>#REF!</f>
        <v>#REF!</v>
      </c>
      <c r="BA68" s="461" t="e">
        <f>#REF!</f>
        <v>#REF!</v>
      </c>
      <c r="BB68" s="461" t="e">
        <f>#REF!</f>
        <v>#REF!</v>
      </c>
      <c r="BC68" s="595" t="e">
        <f>#REF!</f>
        <v>#REF!</v>
      </c>
    </row>
    <row r="69" spans="1:55" s="392" customFormat="1" ht="15" hidden="1" customHeight="1">
      <c r="B69" s="405">
        <f>'2.  Scheme Wide'!A181</f>
        <v>0</v>
      </c>
      <c r="C69" s="468"/>
      <c r="D69" s="476" t="e">
        <f>SUM(F69:BC69)</f>
        <v>#REF!</v>
      </c>
      <c r="E69" s="460"/>
      <c r="F69" s="461" t="e">
        <f>#REF!</f>
        <v>#REF!</v>
      </c>
      <c r="G69" s="461" t="e">
        <f>#REF!</f>
        <v>#REF!</v>
      </c>
      <c r="H69" s="461" t="e">
        <f>#REF!</f>
        <v>#REF!</v>
      </c>
      <c r="I69" s="461" t="e">
        <f>#REF!</f>
        <v>#REF!</v>
      </c>
      <c r="J69" s="461" t="e">
        <f>#REF!</f>
        <v>#REF!</v>
      </c>
      <c r="K69" s="461" t="e">
        <f>#REF!</f>
        <v>#REF!</v>
      </c>
      <c r="L69" s="461" t="e">
        <f>#REF!</f>
        <v>#REF!</v>
      </c>
      <c r="M69" s="461" t="e">
        <f>#REF!</f>
        <v>#REF!</v>
      </c>
      <c r="N69" s="461" t="e">
        <f>#REF!</f>
        <v>#REF!</v>
      </c>
      <c r="O69" s="461" t="e">
        <f>#REF!</f>
        <v>#REF!</v>
      </c>
      <c r="P69" s="461" t="e">
        <f>#REF!</f>
        <v>#REF!</v>
      </c>
      <c r="Q69" s="461" t="e">
        <f>#REF!</f>
        <v>#REF!</v>
      </c>
      <c r="R69" s="461" t="e">
        <f>#REF!</f>
        <v>#REF!</v>
      </c>
      <c r="S69" s="461" t="e">
        <f>#REF!</f>
        <v>#REF!</v>
      </c>
      <c r="T69" s="461" t="e">
        <f>#REF!</f>
        <v>#REF!</v>
      </c>
      <c r="U69" s="461" t="e">
        <f>#REF!</f>
        <v>#REF!</v>
      </c>
      <c r="V69" s="461" t="e">
        <f>#REF!</f>
        <v>#REF!</v>
      </c>
      <c r="W69" s="461" t="e">
        <f>#REF!</f>
        <v>#REF!</v>
      </c>
      <c r="X69" s="461" t="e">
        <f>#REF!</f>
        <v>#REF!</v>
      </c>
      <c r="Y69" s="461" t="e">
        <f>#REF!</f>
        <v>#REF!</v>
      </c>
      <c r="Z69" s="461" t="e">
        <f>#REF!</f>
        <v>#REF!</v>
      </c>
      <c r="AA69" s="461" t="e">
        <f>#REF!</f>
        <v>#REF!</v>
      </c>
      <c r="AB69" s="461" t="e">
        <f>#REF!</f>
        <v>#REF!</v>
      </c>
      <c r="AC69" s="461" t="e">
        <f>#REF!</f>
        <v>#REF!</v>
      </c>
      <c r="AD69" s="461" t="e">
        <f>#REF!</f>
        <v>#REF!</v>
      </c>
      <c r="AE69" s="461" t="e">
        <f>#REF!</f>
        <v>#REF!</v>
      </c>
      <c r="AF69" s="461" t="e">
        <f>#REF!</f>
        <v>#REF!</v>
      </c>
      <c r="AG69" s="461" t="e">
        <f>#REF!</f>
        <v>#REF!</v>
      </c>
      <c r="AH69" s="461" t="e">
        <f>#REF!</f>
        <v>#REF!</v>
      </c>
      <c r="AI69" s="461" t="e">
        <f>#REF!</f>
        <v>#REF!</v>
      </c>
      <c r="AJ69" s="461" t="e">
        <f>#REF!</f>
        <v>#REF!</v>
      </c>
      <c r="AK69" s="461" t="e">
        <f>#REF!</f>
        <v>#REF!</v>
      </c>
      <c r="AL69" s="461" t="e">
        <f>#REF!</f>
        <v>#REF!</v>
      </c>
      <c r="AM69" s="461" t="e">
        <f>#REF!</f>
        <v>#REF!</v>
      </c>
      <c r="AN69" s="461" t="e">
        <f>#REF!</f>
        <v>#REF!</v>
      </c>
      <c r="AO69" s="461" t="e">
        <f>#REF!</f>
        <v>#REF!</v>
      </c>
      <c r="AP69" s="461" t="e">
        <f>#REF!</f>
        <v>#REF!</v>
      </c>
      <c r="AQ69" s="461" t="e">
        <f>#REF!</f>
        <v>#REF!</v>
      </c>
      <c r="AR69" s="461" t="e">
        <f>#REF!</f>
        <v>#REF!</v>
      </c>
      <c r="AS69" s="461" t="e">
        <f>#REF!</f>
        <v>#REF!</v>
      </c>
      <c r="AT69" s="461" t="e">
        <f>#REF!</f>
        <v>#REF!</v>
      </c>
      <c r="AU69" s="461" t="e">
        <f>#REF!</f>
        <v>#REF!</v>
      </c>
      <c r="AV69" s="461" t="e">
        <f>#REF!</f>
        <v>#REF!</v>
      </c>
      <c r="AW69" s="461" t="e">
        <f>#REF!</f>
        <v>#REF!</v>
      </c>
      <c r="AX69" s="461" t="e">
        <f>#REF!</f>
        <v>#REF!</v>
      </c>
      <c r="AY69" s="461" t="e">
        <f>#REF!</f>
        <v>#REF!</v>
      </c>
      <c r="AZ69" s="461" t="e">
        <f>#REF!</f>
        <v>#REF!</v>
      </c>
      <c r="BA69" s="461" t="e">
        <f>#REF!</f>
        <v>#REF!</v>
      </c>
      <c r="BB69" s="461" t="e">
        <f>#REF!</f>
        <v>#REF!</v>
      </c>
      <c r="BC69" s="595" t="e">
        <f>#REF!</f>
        <v>#REF!</v>
      </c>
    </row>
    <row r="70" spans="1:55" s="392" customFormat="1" ht="15" hidden="1" customHeight="1">
      <c r="B70" s="394" t="s">
        <v>329</v>
      </c>
      <c r="C70" s="478"/>
      <c r="D70" s="479"/>
      <c r="E70" s="456"/>
      <c r="F70" s="480"/>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81"/>
      <c r="AK70" s="481"/>
      <c r="AL70" s="481"/>
      <c r="AM70" s="481"/>
      <c r="AN70" s="481"/>
      <c r="AO70" s="481"/>
      <c r="AP70" s="481"/>
      <c r="AQ70" s="481"/>
      <c r="AR70" s="481"/>
      <c r="AS70" s="481"/>
      <c r="AT70" s="481"/>
      <c r="AU70" s="481"/>
      <c r="AV70" s="481"/>
      <c r="AW70" s="481"/>
      <c r="AX70" s="481"/>
      <c r="AY70" s="481"/>
      <c r="AZ70" s="481"/>
      <c r="BA70" s="481"/>
      <c r="BB70" s="481"/>
      <c r="BC70" s="598"/>
    </row>
    <row r="71" spans="1:55" s="392" customFormat="1" ht="15" hidden="1" customHeight="1">
      <c r="B71" s="397">
        <f>'2.  Scheme Wide'!A185:C185</f>
        <v>0</v>
      </c>
      <c r="C71" s="471"/>
      <c r="D71" s="476">
        <f>SUM(F71:BC71)</f>
        <v>0</v>
      </c>
      <c r="E71" s="460"/>
      <c r="F71" s="461"/>
      <c r="G71" s="461"/>
      <c r="H71" s="461"/>
      <c r="I71" s="461"/>
      <c r="J71" s="461"/>
      <c r="K71" s="461"/>
      <c r="L71" s="461"/>
      <c r="M71" s="461"/>
      <c r="N71" s="461"/>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R71" s="461"/>
      <c r="AS71" s="461"/>
      <c r="AT71" s="461"/>
      <c r="AU71" s="461"/>
      <c r="AV71" s="461"/>
      <c r="AW71" s="461"/>
      <c r="AX71" s="461"/>
      <c r="AY71" s="461"/>
      <c r="AZ71" s="461"/>
      <c r="BA71" s="461"/>
      <c r="BB71" s="461"/>
      <c r="BC71" s="595"/>
    </row>
    <row r="72" spans="1:55" s="392" customFormat="1" ht="15" hidden="1" customHeight="1">
      <c r="C72" s="483"/>
      <c r="D72" s="484"/>
      <c r="E72" s="485"/>
      <c r="F72" s="486"/>
      <c r="G72" s="486"/>
      <c r="H72" s="486"/>
      <c r="I72" s="486"/>
      <c r="J72" s="486"/>
      <c r="K72" s="486"/>
      <c r="L72" s="486"/>
      <c r="M72" s="486"/>
      <c r="N72" s="486"/>
      <c r="O72" s="486"/>
      <c r="P72" s="486"/>
      <c r="Q72" s="486"/>
      <c r="R72" s="486"/>
      <c r="S72" s="486"/>
      <c r="T72" s="486"/>
      <c r="U72" s="486"/>
      <c r="V72" s="486"/>
      <c r="W72" s="486"/>
      <c r="X72" s="486"/>
      <c r="Y72" s="486"/>
      <c r="Z72" s="486"/>
      <c r="AA72" s="486"/>
      <c r="AB72" s="486"/>
      <c r="AC72" s="486"/>
      <c r="AD72" s="486"/>
      <c r="AE72" s="486"/>
      <c r="AF72" s="486"/>
      <c r="AG72" s="486"/>
      <c r="AH72" s="486"/>
      <c r="AI72" s="486"/>
      <c r="AJ72" s="486"/>
      <c r="AK72" s="486"/>
      <c r="AL72" s="486"/>
      <c r="AM72" s="486"/>
      <c r="AN72" s="486"/>
      <c r="AO72" s="486"/>
      <c r="AP72" s="486"/>
      <c r="AQ72" s="486"/>
      <c r="AR72" s="486"/>
      <c r="AS72" s="486"/>
      <c r="AT72" s="486"/>
      <c r="AU72" s="486"/>
      <c r="AV72" s="486"/>
      <c r="AW72" s="486"/>
      <c r="AX72" s="486"/>
      <c r="AY72" s="486"/>
      <c r="AZ72" s="486"/>
      <c r="BA72" s="486"/>
      <c r="BB72" s="486"/>
      <c r="BC72" s="599"/>
    </row>
    <row r="73" spans="1:55" s="493" customFormat="1" ht="15" hidden="1" customHeight="1">
      <c r="A73" s="487"/>
      <c r="B73" s="488" t="s">
        <v>253</v>
      </c>
      <c r="C73" s="489"/>
      <c r="D73" s="490" t="e">
        <f>SUM(F73:BC73)</f>
        <v>#REF!</v>
      </c>
      <c r="E73" s="491"/>
      <c r="F73" s="492" t="e">
        <f>SUM(F43:F71)</f>
        <v>#REF!</v>
      </c>
      <c r="G73" s="492" t="e">
        <f t="shared" ref="G73:AS73" si="24">SUM(G43:G71)</f>
        <v>#REF!</v>
      </c>
      <c r="H73" s="492" t="e">
        <f t="shared" si="24"/>
        <v>#REF!</v>
      </c>
      <c r="I73" s="492" t="e">
        <f t="shared" si="24"/>
        <v>#REF!</v>
      </c>
      <c r="J73" s="492" t="e">
        <f t="shared" si="24"/>
        <v>#REF!</v>
      </c>
      <c r="K73" s="492" t="e">
        <f>SUM(K43:K71)</f>
        <v>#REF!</v>
      </c>
      <c r="L73" s="492" t="e">
        <f t="shared" si="24"/>
        <v>#REF!</v>
      </c>
      <c r="M73" s="492" t="e">
        <f t="shared" si="24"/>
        <v>#REF!</v>
      </c>
      <c r="N73" s="492" t="e">
        <f t="shared" si="24"/>
        <v>#REF!</v>
      </c>
      <c r="O73" s="492" t="e">
        <f t="shared" si="24"/>
        <v>#REF!</v>
      </c>
      <c r="P73" s="492" t="e">
        <f t="shared" si="24"/>
        <v>#REF!</v>
      </c>
      <c r="Q73" s="492" t="e">
        <f t="shared" si="24"/>
        <v>#REF!</v>
      </c>
      <c r="R73" s="492" t="e">
        <f t="shared" si="24"/>
        <v>#REF!</v>
      </c>
      <c r="S73" s="492" t="e">
        <f t="shared" si="24"/>
        <v>#REF!</v>
      </c>
      <c r="T73" s="492" t="e">
        <f t="shared" si="24"/>
        <v>#REF!</v>
      </c>
      <c r="U73" s="492" t="e">
        <f t="shared" si="24"/>
        <v>#REF!</v>
      </c>
      <c r="V73" s="492" t="e">
        <f t="shared" si="24"/>
        <v>#REF!</v>
      </c>
      <c r="W73" s="492" t="e">
        <f t="shared" si="24"/>
        <v>#REF!</v>
      </c>
      <c r="X73" s="492" t="e">
        <f t="shared" si="24"/>
        <v>#REF!</v>
      </c>
      <c r="Y73" s="492" t="e">
        <f t="shared" si="24"/>
        <v>#REF!</v>
      </c>
      <c r="Z73" s="492" t="e">
        <f t="shared" si="24"/>
        <v>#REF!</v>
      </c>
      <c r="AA73" s="492" t="e">
        <f t="shared" si="24"/>
        <v>#REF!</v>
      </c>
      <c r="AB73" s="492" t="e">
        <f t="shared" si="24"/>
        <v>#REF!</v>
      </c>
      <c r="AC73" s="492" t="e">
        <f t="shared" si="24"/>
        <v>#REF!</v>
      </c>
      <c r="AD73" s="492" t="e">
        <f t="shared" si="24"/>
        <v>#REF!</v>
      </c>
      <c r="AE73" s="492" t="e">
        <f t="shared" si="24"/>
        <v>#REF!</v>
      </c>
      <c r="AF73" s="492" t="e">
        <f t="shared" si="24"/>
        <v>#REF!</v>
      </c>
      <c r="AG73" s="492" t="e">
        <f t="shared" si="24"/>
        <v>#REF!</v>
      </c>
      <c r="AH73" s="492" t="e">
        <f t="shared" si="24"/>
        <v>#REF!</v>
      </c>
      <c r="AI73" s="492" t="e">
        <f t="shared" si="24"/>
        <v>#REF!</v>
      </c>
      <c r="AJ73" s="492" t="e">
        <f t="shared" si="24"/>
        <v>#REF!</v>
      </c>
      <c r="AK73" s="492" t="e">
        <f t="shared" si="24"/>
        <v>#REF!</v>
      </c>
      <c r="AL73" s="492" t="e">
        <f t="shared" si="24"/>
        <v>#REF!</v>
      </c>
      <c r="AM73" s="492" t="e">
        <f t="shared" si="24"/>
        <v>#REF!</v>
      </c>
      <c r="AN73" s="492" t="e">
        <f t="shared" si="24"/>
        <v>#REF!</v>
      </c>
      <c r="AO73" s="492" t="e">
        <f t="shared" si="24"/>
        <v>#REF!</v>
      </c>
      <c r="AP73" s="492" t="e">
        <f t="shared" si="24"/>
        <v>#REF!</v>
      </c>
      <c r="AQ73" s="492" t="e">
        <f t="shared" si="24"/>
        <v>#REF!</v>
      </c>
      <c r="AR73" s="492" t="e">
        <f t="shared" si="24"/>
        <v>#REF!</v>
      </c>
      <c r="AS73" s="492" t="e">
        <f t="shared" si="24"/>
        <v>#REF!</v>
      </c>
      <c r="AT73" s="492" t="e">
        <f t="shared" ref="AT73:BC73" si="25">SUM(AT43:AT71)</f>
        <v>#REF!</v>
      </c>
      <c r="AU73" s="492" t="e">
        <f t="shared" si="25"/>
        <v>#REF!</v>
      </c>
      <c r="AV73" s="492" t="e">
        <f t="shared" si="25"/>
        <v>#REF!</v>
      </c>
      <c r="AW73" s="492" t="e">
        <f t="shared" si="25"/>
        <v>#REF!</v>
      </c>
      <c r="AX73" s="492" t="e">
        <f t="shared" si="25"/>
        <v>#REF!</v>
      </c>
      <c r="AY73" s="492" t="e">
        <f t="shared" si="25"/>
        <v>#REF!</v>
      </c>
      <c r="AZ73" s="492" t="e">
        <f t="shared" si="25"/>
        <v>#REF!</v>
      </c>
      <c r="BA73" s="492" t="e">
        <f t="shared" si="25"/>
        <v>#REF!</v>
      </c>
      <c r="BB73" s="492" t="e">
        <f t="shared" si="25"/>
        <v>#REF!</v>
      </c>
      <c r="BC73" s="600" t="e">
        <f t="shared" si="25"/>
        <v>#REF!</v>
      </c>
    </row>
    <row r="74" spans="1:55" s="396" customFormat="1" ht="15" hidden="1" customHeight="1">
      <c r="C74" s="387"/>
      <c r="D74" s="408"/>
      <c r="E74" s="494"/>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387"/>
      <c r="AJ74" s="387"/>
      <c r="AK74" s="387"/>
      <c r="AL74" s="387"/>
      <c r="AM74" s="387"/>
      <c r="AN74" s="387"/>
      <c r="AO74" s="387"/>
      <c r="AP74" s="387"/>
      <c r="AQ74" s="387"/>
      <c r="AR74" s="387"/>
      <c r="AS74" s="387"/>
      <c r="AT74" s="387"/>
      <c r="AU74" s="387"/>
      <c r="AV74" s="387"/>
      <c r="AW74" s="387"/>
      <c r="AX74" s="387"/>
      <c r="AY74" s="387"/>
      <c r="AZ74" s="387"/>
      <c r="BA74" s="387"/>
      <c r="BB74" s="387"/>
      <c r="BC74" s="601"/>
    </row>
    <row r="75" spans="1:55" s="396" customFormat="1" ht="15" hidden="1" customHeight="1">
      <c r="A75" s="407"/>
      <c r="B75" s="389" t="s">
        <v>97</v>
      </c>
      <c r="C75" s="411" t="s">
        <v>113</v>
      </c>
      <c r="D75" s="411" t="s">
        <v>4</v>
      </c>
      <c r="E75" s="456"/>
      <c r="F75" s="395"/>
      <c r="G75" s="395"/>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5"/>
      <c r="AY75" s="395"/>
      <c r="AZ75" s="395"/>
      <c r="BA75" s="395"/>
      <c r="BB75" s="395"/>
      <c r="BC75" s="602"/>
    </row>
    <row r="76" spans="1:55" s="396" customFormat="1" ht="15" hidden="1" customHeight="1">
      <c r="B76" s="472" t="s">
        <v>100</v>
      </c>
      <c r="C76" s="495">
        <f>'2.  Scheme Wide'!F13</f>
        <v>4.2</v>
      </c>
      <c r="D76" s="496">
        <f>SUM(F76:BC76)</f>
        <v>0</v>
      </c>
      <c r="E76" s="497"/>
      <c r="F76" s="498">
        <f>(IF('2.  Scheme Wide'!$E$14=1,'2.  Scheme Wide'!$F$13/'2.  Scheme Wide'!$E$15,0))</f>
        <v>0</v>
      </c>
      <c r="G76" s="498">
        <f>(IF('2.  Scheme Wide'!$E$14=2,'2.  Scheme Wide'!$F$13/'2.  Scheme Wide'!$E$15,(IF(F76=0,0,(IF(SUM(F76:F76)&lt;$C$76,'2.  Scheme Wide'!$F$13/'2.  Scheme Wide'!$E$15,0))))))</f>
        <v>0</v>
      </c>
      <c r="H76" s="498">
        <f>(IF('2.  Scheme Wide'!$E$14=3,'2.  Scheme Wide'!$F$13/'2.  Scheme Wide'!$E$15,(IF(G76=0,0,(IF(SUM(F76:G76)&lt;$C$76,'2.  Scheme Wide'!$F$13/'2.  Scheme Wide'!$E$15,0))))))</f>
        <v>0</v>
      </c>
      <c r="I76" s="498">
        <f>(IF('2.  Scheme Wide'!$E$14=4,'2.  Scheme Wide'!$F$13/'2.  Scheme Wide'!$E$15,(IF(H76=0,0,(IF(SUM(F76:H76)&lt;$C$76,'2.  Scheme Wide'!$F$13/'2.  Scheme Wide'!$E$15,0))))))</f>
        <v>0</v>
      </c>
      <c r="J76" s="498">
        <f>(IF('2.  Scheme Wide'!$E$14=5,'2.  Scheme Wide'!$F$13/'2.  Scheme Wide'!$E$15,(IF(I76=0,0,(IF(SUM(F76:I76)&lt;$C$76,'2.  Scheme Wide'!$F$13/'2.  Scheme Wide'!$E$15,0))))))</f>
        <v>0</v>
      </c>
      <c r="K76" s="498">
        <f>(IF('2.  Scheme Wide'!$E$14=6,'2.  Scheme Wide'!$F$13/'2.  Scheme Wide'!$E$15,(IF(J76=0,0,(IF(SUM(F76:J76)&lt;$C$76,'2.  Scheme Wide'!$F$13/'2.  Scheme Wide'!$E$15,0))))))</f>
        <v>0</v>
      </c>
      <c r="L76" s="498">
        <f>(IF('2.  Scheme Wide'!$E$14=6,'2.  Scheme Wide'!$F$13/'2.  Scheme Wide'!$E$15,(IF(K76=0,0,(IF(SUM(F76:K76)&lt;$C$76,'2.  Scheme Wide'!$F$13/'2.  Scheme Wide'!$E$15,0))))))</f>
        <v>0</v>
      </c>
      <c r="M76" s="498">
        <f>(IF('2.  Scheme Wide'!$E$14=6,'2.  Scheme Wide'!$F$13/'2.  Scheme Wide'!$E$15,(IF(L76=0,0,(IF(SUM(F76:L76)&lt;$C$76,'2.  Scheme Wide'!$F$13/'2.  Scheme Wide'!$E$15,0))))))</f>
        <v>0</v>
      </c>
      <c r="N76" s="498">
        <f>(IF('2.  Scheme Wide'!$E$14=6,'2.  Scheme Wide'!$F$13/'2.  Scheme Wide'!$E$15,(IF(M76=0,0,(IF(SUM(F76:M76)&lt;$C$76,'2.  Scheme Wide'!$F$13/'2.  Scheme Wide'!$E$15,0))))))</f>
        <v>0</v>
      </c>
      <c r="O76" s="498">
        <f>(IF('2.  Scheme Wide'!$E$14=6,'2.  Scheme Wide'!$F$13/'2.  Scheme Wide'!$E$15,(IF(N76=0,0,(IF(SUM(F76:N76)&lt;$C$76,'2.  Scheme Wide'!$F$13/'2.  Scheme Wide'!$E$15,0))))))</f>
        <v>0</v>
      </c>
      <c r="P76" s="498">
        <f>(IF('2.  Scheme Wide'!$E$14=6,'2.  Scheme Wide'!$F$13/'2.  Scheme Wide'!$E$15,(IF(O76=0,0,(IF(SUM(F76:O76)&lt;$C$76,'2.  Scheme Wide'!$F$13/'2.  Scheme Wide'!$E$15,0))))))</f>
        <v>0</v>
      </c>
      <c r="Q76" s="498">
        <f>(IF('2.  Scheme Wide'!$E$14=6,'2.  Scheme Wide'!$F$13/'2.  Scheme Wide'!$E$15,(IF(P76=0,0,(IF(SUM(F76:P76)&lt;$C$76,'2.  Scheme Wide'!$F$13/'2.  Scheme Wide'!$E$15,0))))))</f>
        <v>0</v>
      </c>
      <c r="R76" s="498">
        <f>(IF('2.  Scheme Wide'!$E$14=6,'2.  Scheme Wide'!$F$13/'2.  Scheme Wide'!$E$15,(IF(Q76=0,0,(IF(SUM(F76:Q76)&lt;$C$76,'2.  Scheme Wide'!$F$13/'2.  Scheme Wide'!$E$15,0))))))</f>
        <v>0</v>
      </c>
      <c r="S76" s="498">
        <f>(IF('2.  Scheme Wide'!$E$14=6,'2.  Scheme Wide'!$F$13/'2.  Scheme Wide'!$E$15,(IF(R76=0,0,(IF(SUM(F76:R76)&lt;$C$76,'2.  Scheme Wide'!$F$13/'2.  Scheme Wide'!$E$15,0))))))</f>
        <v>0</v>
      </c>
      <c r="T76" s="498">
        <f>(IF('2.  Scheme Wide'!$E$14=6,'2.  Scheme Wide'!$F$13/'2.  Scheme Wide'!$E$15,(IF(S76=0,0,(IF(SUM(F76:S76)&lt;$C$76,'2.  Scheme Wide'!$F$13/'2.  Scheme Wide'!$E$15,0))))))</f>
        <v>0</v>
      </c>
      <c r="U76" s="498">
        <f>(IF('2.  Scheme Wide'!$E$14=6,'2.  Scheme Wide'!$F$13/'2.  Scheme Wide'!$E$15,(IF(T76=0,0,(IF(SUM(F76:T76)&lt;$C$76,'2.  Scheme Wide'!$F$13/'2.  Scheme Wide'!$E$15,0))))))</f>
        <v>0</v>
      </c>
      <c r="V76" s="498">
        <f>(IF('2.  Scheme Wide'!$E$14=6,'2.  Scheme Wide'!$F$13/'2.  Scheme Wide'!$E$15,(IF(U76=0,0,(IF(SUM(F76:U76)&lt;$C$76,'2.  Scheme Wide'!$F$13/'2.  Scheme Wide'!$E$15,0))))))</f>
        <v>0</v>
      </c>
      <c r="W76" s="498">
        <f>(IF('2.  Scheme Wide'!$E$14=6,'2.  Scheme Wide'!$F$13/'2.  Scheme Wide'!$E$15,(IF(V76=0,0,(IF(SUM(F76:V76)&lt;$C$76,'2.  Scheme Wide'!$F$13/'2.  Scheme Wide'!$E$15,0))))))</f>
        <v>0</v>
      </c>
      <c r="X76" s="498">
        <f>(IF('2.  Scheme Wide'!$E$14=6,'2.  Scheme Wide'!$F$13/'2.  Scheme Wide'!$E$15,(IF(W76=0,0,(IF(SUM(F76:W76)&lt;$C$76,'2.  Scheme Wide'!$F$13/'2.  Scheme Wide'!$E$15,0))))))</f>
        <v>0</v>
      </c>
      <c r="Y76" s="498">
        <f>(IF('2.  Scheme Wide'!$E$14=6,'2.  Scheme Wide'!$F$13/'2.  Scheme Wide'!$E$15,(IF(X76=0,0,(IF(SUM(F76:X76)&lt;$C$76,'2.  Scheme Wide'!$F$13/'2.  Scheme Wide'!$E$15,0))))))</f>
        <v>0</v>
      </c>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8"/>
      <c r="AY76" s="498"/>
      <c r="AZ76" s="498"/>
      <c r="BA76" s="498"/>
      <c r="BB76" s="498"/>
      <c r="BC76" s="603"/>
    </row>
    <row r="77" spans="1:55" s="396" customFormat="1" ht="15" hidden="1" customHeight="1">
      <c r="A77" s="407"/>
      <c r="B77" s="499" t="s">
        <v>97</v>
      </c>
      <c r="C77" s="500">
        <f>'2.  Scheme Wide'!E16</f>
        <v>0.1</v>
      </c>
      <c r="D77" s="496" t="e">
        <f>SUM(F77:BC77)</f>
        <v>#REF!</v>
      </c>
      <c r="E77" s="501"/>
      <c r="F77" s="498" t="e">
        <f>F73*'2.  Scheme Wide'!$E$16</f>
        <v>#REF!</v>
      </c>
      <c r="G77" s="498" t="e">
        <f>G73*'2.  Scheme Wide'!$E$16</f>
        <v>#REF!</v>
      </c>
      <c r="H77" s="498" t="e">
        <f>H73*'2.  Scheme Wide'!$E$16</f>
        <v>#REF!</v>
      </c>
      <c r="I77" s="498" t="e">
        <f>I73*'2.  Scheme Wide'!$E$16</f>
        <v>#REF!</v>
      </c>
      <c r="J77" s="498" t="e">
        <f>J73*'2.  Scheme Wide'!$E$16</f>
        <v>#REF!</v>
      </c>
      <c r="K77" s="498" t="e">
        <f>K73*'2.  Scheme Wide'!$E$16</f>
        <v>#REF!</v>
      </c>
      <c r="L77" s="498" t="e">
        <f>L73*'2.  Scheme Wide'!$E$16</f>
        <v>#REF!</v>
      </c>
      <c r="M77" s="498" t="e">
        <f>M73*'2.  Scheme Wide'!$E$16</f>
        <v>#REF!</v>
      </c>
      <c r="N77" s="498" t="e">
        <f>N73*'2.  Scheme Wide'!$E$16</f>
        <v>#REF!</v>
      </c>
      <c r="O77" s="498" t="e">
        <f>O73*'2.  Scheme Wide'!$E$16</f>
        <v>#REF!</v>
      </c>
      <c r="P77" s="498" t="e">
        <f>P73*'2.  Scheme Wide'!$E$16</f>
        <v>#REF!</v>
      </c>
      <c r="Q77" s="498" t="e">
        <f>Q73*'2.  Scheme Wide'!$E$16</f>
        <v>#REF!</v>
      </c>
      <c r="R77" s="498" t="e">
        <f>R73*'2.  Scheme Wide'!$E$16</f>
        <v>#REF!</v>
      </c>
      <c r="S77" s="498" t="e">
        <f>S73*'2.  Scheme Wide'!$E$16</f>
        <v>#REF!</v>
      </c>
      <c r="T77" s="498" t="e">
        <f>T73*'2.  Scheme Wide'!$E$16</f>
        <v>#REF!</v>
      </c>
      <c r="U77" s="498" t="e">
        <f>U73*'2.  Scheme Wide'!$E$16</f>
        <v>#REF!</v>
      </c>
      <c r="V77" s="498" t="e">
        <f>V73*'2.  Scheme Wide'!$E$16</f>
        <v>#REF!</v>
      </c>
      <c r="W77" s="498" t="e">
        <f>W73*'2.  Scheme Wide'!$E$16</f>
        <v>#REF!</v>
      </c>
      <c r="X77" s="498" t="e">
        <f>X73*'2.  Scheme Wide'!$E$16</f>
        <v>#REF!</v>
      </c>
      <c r="Y77" s="498" t="e">
        <f>Y73*'2.  Scheme Wide'!$E$16</f>
        <v>#REF!</v>
      </c>
      <c r="Z77" s="498" t="e">
        <f>Z73*'2.  Scheme Wide'!$E$16</f>
        <v>#REF!</v>
      </c>
      <c r="AA77" s="498" t="e">
        <f>AA73*'2.  Scheme Wide'!$E$16</f>
        <v>#REF!</v>
      </c>
      <c r="AB77" s="498" t="e">
        <f>AB73*'2.  Scheme Wide'!$E$16</f>
        <v>#REF!</v>
      </c>
      <c r="AC77" s="498" t="e">
        <f>AC73*'2.  Scheme Wide'!$E$16</f>
        <v>#REF!</v>
      </c>
      <c r="AD77" s="498" t="e">
        <f>AD73*'2.  Scheme Wide'!$E$16</f>
        <v>#REF!</v>
      </c>
      <c r="AE77" s="498" t="e">
        <f>AE73*'2.  Scheme Wide'!$E$16</f>
        <v>#REF!</v>
      </c>
      <c r="AF77" s="498" t="e">
        <f>AF73*'2.  Scheme Wide'!$E$16</f>
        <v>#REF!</v>
      </c>
      <c r="AG77" s="498" t="e">
        <f>AG73*'2.  Scheme Wide'!$E$16</f>
        <v>#REF!</v>
      </c>
      <c r="AH77" s="498" t="e">
        <f>AH73*'2.  Scheme Wide'!$E$16</f>
        <v>#REF!</v>
      </c>
      <c r="AI77" s="498" t="e">
        <f>AI73*'2.  Scheme Wide'!$E$16</f>
        <v>#REF!</v>
      </c>
      <c r="AJ77" s="498" t="e">
        <f>AJ73*'2.  Scheme Wide'!$E$16</f>
        <v>#REF!</v>
      </c>
      <c r="AK77" s="498" t="e">
        <f>AK73*'2.  Scheme Wide'!$E$16</f>
        <v>#REF!</v>
      </c>
      <c r="AL77" s="498" t="e">
        <f>AL73*'2.  Scheme Wide'!$E$16</f>
        <v>#REF!</v>
      </c>
      <c r="AM77" s="498" t="e">
        <f>AM73*'2.  Scheme Wide'!$E$16</f>
        <v>#REF!</v>
      </c>
      <c r="AN77" s="498" t="e">
        <f>AN73*'2.  Scheme Wide'!$E$16</f>
        <v>#REF!</v>
      </c>
      <c r="AO77" s="498" t="e">
        <f>AO73*'2.  Scheme Wide'!$E$16</f>
        <v>#REF!</v>
      </c>
      <c r="AP77" s="498" t="e">
        <f>AP73*'2.  Scheme Wide'!$E$16</f>
        <v>#REF!</v>
      </c>
      <c r="AQ77" s="498" t="e">
        <f>AQ73*'2.  Scheme Wide'!$E$16</f>
        <v>#REF!</v>
      </c>
      <c r="AR77" s="498" t="e">
        <f>AR73*'2.  Scheme Wide'!$E$16</f>
        <v>#REF!</v>
      </c>
      <c r="AS77" s="498" t="e">
        <f>AS73*'2.  Scheme Wide'!$E$16</f>
        <v>#REF!</v>
      </c>
      <c r="AT77" s="498" t="e">
        <f>AT73*'2.  Scheme Wide'!$E$16</f>
        <v>#REF!</v>
      </c>
      <c r="AU77" s="498" t="e">
        <f>AU73*'2.  Scheme Wide'!$E$16</f>
        <v>#REF!</v>
      </c>
      <c r="AV77" s="498" t="e">
        <f>AV73*'2.  Scheme Wide'!$E$16</f>
        <v>#REF!</v>
      </c>
      <c r="AW77" s="498" t="e">
        <f>AW73*'2.  Scheme Wide'!$E$16</f>
        <v>#REF!</v>
      </c>
      <c r="AX77" s="498" t="e">
        <f>AX73*'2.  Scheme Wide'!$E$16</f>
        <v>#REF!</v>
      </c>
      <c r="AY77" s="498" t="e">
        <f>AY73*'2.  Scheme Wide'!$E$16</f>
        <v>#REF!</v>
      </c>
      <c r="AZ77" s="498" t="e">
        <f>AZ73*'2.  Scheme Wide'!$E$16</f>
        <v>#REF!</v>
      </c>
      <c r="BA77" s="498" t="e">
        <f>BA73*'2.  Scheme Wide'!$E$16</f>
        <v>#REF!</v>
      </c>
      <c r="BB77" s="498" t="e">
        <f>BB73*'2.  Scheme Wide'!$E$16</f>
        <v>#REF!</v>
      </c>
      <c r="BC77" s="603" t="e">
        <f>BC73*'2.  Scheme Wide'!$E$16</f>
        <v>#REF!</v>
      </c>
    </row>
    <row r="78" spans="1:55" s="396" customFormat="1" ht="15" hidden="1" customHeight="1">
      <c r="C78" s="387"/>
      <c r="D78" s="408"/>
      <c r="E78" s="494"/>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387"/>
      <c r="AW78" s="387"/>
      <c r="AX78" s="387"/>
      <c r="AY78" s="387"/>
      <c r="AZ78" s="387"/>
      <c r="BA78" s="387"/>
      <c r="BB78" s="387"/>
      <c r="BC78" s="601"/>
    </row>
    <row r="79" spans="1:55" s="396" customFormat="1" ht="15" hidden="1" customHeight="1">
      <c r="A79" s="407"/>
      <c r="B79" s="389" t="s">
        <v>292</v>
      </c>
      <c r="C79" s="411" t="s">
        <v>113</v>
      </c>
      <c r="D79" s="411" t="s">
        <v>4</v>
      </c>
      <c r="E79" s="456"/>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5"/>
      <c r="AY79" s="395"/>
      <c r="AZ79" s="395"/>
      <c r="BA79" s="395"/>
      <c r="BB79" s="395"/>
      <c r="BC79" s="602"/>
    </row>
    <row r="80" spans="1:55" s="396" customFormat="1" ht="15" hidden="1" customHeight="1">
      <c r="B80" s="499" t="s">
        <v>293</v>
      </c>
      <c r="C80" s="502">
        <f>'2.  Scheme Wide'!E23</f>
        <v>0.15</v>
      </c>
      <c r="D80" s="496" t="e">
        <f>SUM(F80:BC80)</f>
        <v>#REF!</v>
      </c>
      <c r="E80" s="497"/>
      <c r="F80" s="498" t="e">
        <f t="shared" ref="F80:AS80" si="26">(SUM(F43:F66))*$C$80</f>
        <v>#REF!</v>
      </c>
      <c r="G80" s="498" t="e">
        <f t="shared" si="26"/>
        <v>#REF!</v>
      </c>
      <c r="H80" s="498" t="e">
        <f t="shared" si="26"/>
        <v>#REF!</v>
      </c>
      <c r="I80" s="498" t="e">
        <f t="shared" si="26"/>
        <v>#REF!</v>
      </c>
      <c r="J80" s="498" t="e">
        <f t="shared" si="26"/>
        <v>#REF!</v>
      </c>
      <c r="K80" s="498" t="e">
        <f>(SUM(K43:K66))*$C$80</f>
        <v>#REF!</v>
      </c>
      <c r="L80" s="498" t="e">
        <f t="shared" si="26"/>
        <v>#REF!</v>
      </c>
      <c r="M80" s="498" t="e">
        <f t="shared" si="26"/>
        <v>#REF!</v>
      </c>
      <c r="N80" s="498" t="e">
        <f t="shared" si="26"/>
        <v>#REF!</v>
      </c>
      <c r="O80" s="498" t="e">
        <f t="shared" si="26"/>
        <v>#REF!</v>
      </c>
      <c r="P80" s="498" t="e">
        <f t="shared" si="26"/>
        <v>#REF!</v>
      </c>
      <c r="Q80" s="498" t="e">
        <f t="shared" si="26"/>
        <v>#REF!</v>
      </c>
      <c r="R80" s="498" t="e">
        <f t="shared" si="26"/>
        <v>#REF!</v>
      </c>
      <c r="S80" s="498" t="e">
        <f t="shared" si="26"/>
        <v>#REF!</v>
      </c>
      <c r="T80" s="498" t="e">
        <f t="shared" si="26"/>
        <v>#REF!</v>
      </c>
      <c r="U80" s="498" t="e">
        <f t="shared" si="26"/>
        <v>#REF!</v>
      </c>
      <c r="V80" s="498" t="e">
        <f t="shared" si="26"/>
        <v>#REF!</v>
      </c>
      <c r="W80" s="498" t="e">
        <f t="shared" si="26"/>
        <v>#REF!</v>
      </c>
      <c r="X80" s="498" t="e">
        <f t="shared" si="26"/>
        <v>#REF!</v>
      </c>
      <c r="Y80" s="498" t="e">
        <f t="shared" si="26"/>
        <v>#REF!</v>
      </c>
      <c r="Z80" s="498" t="e">
        <f t="shared" si="26"/>
        <v>#REF!</v>
      </c>
      <c r="AA80" s="498" t="e">
        <f t="shared" si="26"/>
        <v>#REF!</v>
      </c>
      <c r="AB80" s="498" t="e">
        <f t="shared" si="26"/>
        <v>#REF!</v>
      </c>
      <c r="AC80" s="498" t="e">
        <f t="shared" si="26"/>
        <v>#REF!</v>
      </c>
      <c r="AD80" s="498" t="e">
        <f t="shared" si="26"/>
        <v>#REF!</v>
      </c>
      <c r="AE80" s="498" t="e">
        <f t="shared" si="26"/>
        <v>#REF!</v>
      </c>
      <c r="AF80" s="498" t="e">
        <f t="shared" si="26"/>
        <v>#REF!</v>
      </c>
      <c r="AG80" s="498" t="e">
        <f t="shared" si="26"/>
        <v>#REF!</v>
      </c>
      <c r="AH80" s="498" t="e">
        <f t="shared" si="26"/>
        <v>#REF!</v>
      </c>
      <c r="AI80" s="498" t="e">
        <f t="shared" si="26"/>
        <v>#REF!</v>
      </c>
      <c r="AJ80" s="498" t="e">
        <f t="shared" si="26"/>
        <v>#REF!</v>
      </c>
      <c r="AK80" s="498" t="e">
        <f t="shared" si="26"/>
        <v>#REF!</v>
      </c>
      <c r="AL80" s="498" t="e">
        <f t="shared" si="26"/>
        <v>#REF!</v>
      </c>
      <c r="AM80" s="498" t="e">
        <f t="shared" si="26"/>
        <v>#REF!</v>
      </c>
      <c r="AN80" s="498" t="e">
        <f t="shared" si="26"/>
        <v>#REF!</v>
      </c>
      <c r="AO80" s="498" t="e">
        <f t="shared" si="26"/>
        <v>#REF!</v>
      </c>
      <c r="AP80" s="498" t="e">
        <f t="shared" si="26"/>
        <v>#REF!</v>
      </c>
      <c r="AQ80" s="498" t="e">
        <f t="shared" si="26"/>
        <v>#REF!</v>
      </c>
      <c r="AR80" s="498" t="e">
        <f t="shared" si="26"/>
        <v>#REF!</v>
      </c>
      <c r="AS80" s="498" t="e">
        <f t="shared" si="26"/>
        <v>#REF!</v>
      </c>
      <c r="AT80" s="498" t="e">
        <f t="shared" ref="AT80:BC80" si="27">(SUM(AT43:AT66))*$C$80</f>
        <v>#REF!</v>
      </c>
      <c r="AU80" s="498" t="e">
        <f t="shared" si="27"/>
        <v>#REF!</v>
      </c>
      <c r="AV80" s="498" t="e">
        <f t="shared" si="27"/>
        <v>#REF!</v>
      </c>
      <c r="AW80" s="498" t="e">
        <f t="shared" si="27"/>
        <v>#REF!</v>
      </c>
      <c r="AX80" s="498" t="e">
        <f t="shared" si="27"/>
        <v>#REF!</v>
      </c>
      <c r="AY80" s="498" t="e">
        <f t="shared" si="27"/>
        <v>#REF!</v>
      </c>
      <c r="AZ80" s="498" t="e">
        <f t="shared" si="27"/>
        <v>#REF!</v>
      </c>
      <c r="BA80" s="498" t="e">
        <f t="shared" si="27"/>
        <v>#REF!</v>
      </c>
      <c r="BB80" s="498" t="e">
        <f t="shared" si="27"/>
        <v>#REF!</v>
      </c>
      <c r="BC80" s="603" t="e">
        <f t="shared" si="27"/>
        <v>#REF!</v>
      </c>
    </row>
    <row r="81" spans="1:89" s="396" customFormat="1" ht="15" hidden="1" customHeight="1">
      <c r="A81" s="407"/>
      <c r="D81" s="387"/>
      <c r="E81" s="501"/>
      <c r="F81" s="503"/>
      <c r="G81" s="503"/>
      <c r="H81" s="503"/>
      <c r="I81" s="503"/>
      <c r="J81" s="503"/>
      <c r="K81" s="503"/>
      <c r="L81" s="503"/>
      <c r="M81" s="503"/>
      <c r="N81" s="503"/>
      <c r="O81" s="503"/>
      <c r="P81" s="503"/>
      <c r="Q81" s="503"/>
      <c r="R81" s="503"/>
      <c r="S81" s="503"/>
      <c r="T81" s="503"/>
      <c r="U81" s="503"/>
      <c r="V81" s="503"/>
      <c r="W81" s="503"/>
      <c r="X81" s="503"/>
      <c r="Y81" s="503"/>
      <c r="Z81" s="503"/>
      <c r="AA81" s="503"/>
      <c r="AB81" s="503"/>
      <c r="AC81" s="503"/>
      <c r="AD81" s="503"/>
      <c r="AE81" s="503"/>
      <c r="AF81" s="503"/>
      <c r="AG81" s="503"/>
      <c r="AH81" s="503"/>
      <c r="AI81" s="503"/>
      <c r="AJ81" s="503"/>
      <c r="AK81" s="503"/>
      <c r="AL81" s="503"/>
      <c r="AM81" s="503"/>
      <c r="AN81" s="503"/>
      <c r="AO81" s="503"/>
      <c r="AP81" s="503"/>
      <c r="AQ81" s="503"/>
      <c r="AR81" s="503"/>
      <c r="AS81" s="503"/>
      <c r="AT81" s="503"/>
      <c r="AU81" s="503"/>
      <c r="AV81" s="503"/>
      <c r="AW81" s="503"/>
      <c r="AX81" s="503"/>
      <c r="AY81" s="503"/>
      <c r="AZ81" s="503"/>
      <c r="BA81" s="503"/>
      <c r="BB81" s="503"/>
      <c r="BC81" s="604"/>
    </row>
    <row r="82" spans="1:89" s="396" customFormat="1" ht="15" hidden="1" customHeight="1">
      <c r="A82" s="407"/>
      <c r="B82" s="389" t="s">
        <v>112</v>
      </c>
      <c r="C82" s="411" t="s">
        <v>113</v>
      </c>
      <c r="D82" s="411" t="s">
        <v>4</v>
      </c>
      <c r="E82" s="456"/>
      <c r="F82" s="480"/>
      <c r="G82" s="504"/>
      <c r="H82" s="504"/>
      <c r="I82" s="504"/>
      <c r="J82" s="504"/>
      <c r="K82" s="504"/>
      <c r="L82" s="504"/>
      <c r="M82" s="504"/>
      <c r="N82" s="504"/>
      <c r="O82" s="504"/>
      <c r="P82" s="504"/>
      <c r="Q82" s="504"/>
      <c r="R82" s="504"/>
      <c r="S82" s="504"/>
      <c r="T82" s="504"/>
      <c r="U82" s="504"/>
      <c r="V82" s="504"/>
      <c r="W82" s="504"/>
      <c r="X82" s="504"/>
      <c r="Y82" s="504"/>
      <c r="Z82" s="504"/>
      <c r="AA82" s="504"/>
      <c r="AB82" s="504"/>
      <c r="AC82" s="504"/>
      <c r="AD82" s="504"/>
      <c r="AE82" s="504"/>
      <c r="AF82" s="504"/>
      <c r="AG82" s="504"/>
      <c r="AH82" s="504"/>
      <c r="AI82" s="504"/>
      <c r="AJ82" s="504"/>
      <c r="AK82" s="504"/>
      <c r="AL82" s="504"/>
      <c r="AM82" s="504"/>
      <c r="AN82" s="504"/>
      <c r="AO82" s="504"/>
      <c r="AP82" s="504"/>
      <c r="AQ82" s="504"/>
      <c r="AR82" s="504"/>
      <c r="AS82" s="504"/>
      <c r="AT82" s="504"/>
      <c r="AU82" s="504"/>
      <c r="AV82" s="504"/>
      <c r="AW82" s="504"/>
      <c r="AX82" s="504"/>
      <c r="AY82" s="504"/>
      <c r="AZ82" s="504"/>
      <c r="BA82" s="504"/>
      <c r="BB82" s="504"/>
      <c r="BC82" s="605"/>
    </row>
    <row r="83" spans="1:89" s="396" customFormat="1" ht="15" hidden="1" customHeight="1">
      <c r="B83" s="505" t="s">
        <v>254</v>
      </c>
      <c r="C83" s="500">
        <f>'2.  Scheme Wide'!E30</f>
        <v>0</v>
      </c>
      <c r="D83" s="403" t="e">
        <f>SUM(F83:BC83)</f>
        <v>#REF!</v>
      </c>
      <c r="E83" s="501"/>
      <c r="F83" s="498" t="e">
        <f t="shared" ref="F83:AS83" si="28">(SUM(F43:F43))*$C$83</f>
        <v>#REF!</v>
      </c>
      <c r="G83" s="498" t="e">
        <f t="shared" si="28"/>
        <v>#REF!</v>
      </c>
      <c r="H83" s="498" t="e">
        <f t="shared" si="28"/>
        <v>#REF!</v>
      </c>
      <c r="I83" s="498" t="e">
        <f t="shared" si="28"/>
        <v>#REF!</v>
      </c>
      <c r="J83" s="498" t="e">
        <f t="shared" si="28"/>
        <v>#REF!</v>
      </c>
      <c r="K83" s="498" t="e">
        <f t="shared" si="28"/>
        <v>#REF!</v>
      </c>
      <c r="L83" s="498" t="e">
        <f t="shared" si="28"/>
        <v>#REF!</v>
      </c>
      <c r="M83" s="498" t="e">
        <f t="shared" si="28"/>
        <v>#REF!</v>
      </c>
      <c r="N83" s="498" t="e">
        <f t="shared" si="28"/>
        <v>#REF!</v>
      </c>
      <c r="O83" s="498" t="e">
        <f t="shared" si="28"/>
        <v>#REF!</v>
      </c>
      <c r="P83" s="498" t="e">
        <f t="shared" si="28"/>
        <v>#REF!</v>
      </c>
      <c r="Q83" s="498" t="e">
        <f t="shared" si="28"/>
        <v>#REF!</v>
      </c>
      <c r="R83" s="498" t="e">
        <f t="shared" si="28"/>
        <v>#REF!</v>
      </c>
      <c r="S83" s="498" t="e">
        <f t="shared" si="28"/>
        <v>#REF!</v>
      </c>
      <c r="T83" s="498" t="e">
        <f t="shared" si="28"/>
        <v>#REF!</v>
      </c>
      <c r="U83" s="498" t="e">
        <f t="shared" si="28"/>
        <v>#REF!</v>
      </c>
      <c r="V83" s="498" t="e">
        <f t="shared" si="28"/>
        <v>#REF!</v>
      </c>
      <c r="W83" s="498" t="e">
        <f t="shared" si="28"/>
        <v>#REF!</v>
      </c>
      <c r="X83" s="498" t="e">
        <f t="shared" si="28"/>
        <v>#REF!</v>
      </c>
      <c r="Y83" s="498" t="e">
        <f t="shared" si="28"/>
        <v>#REF!</v>
      </c>
      <c r="Z83" s="498" t="e">
        <f t="shared" si="28"/>
        <v>#REF!</v>
      </c>
      <c r="AA83" s="498" t="e">
        <f t="shared" si="28"/>
        <v>#REF!</v>
      </c>
      <c r="AB83" s="498" t="e">
        <f t="shared" si="28"/>
        <v>#REF!</v>
      </c>
      <c r="AC83" s="498" t="e">
        <f t="shared" si="28"/>
        <v>#REF!</v>
      </c>
      <c r="AD83" s="498" t="e">
        <f t="shared" si="28"/>
        <v>#REF!</v>
      </c>
      <c r="AE83" s="498" t="e">
        <f t="shared" si="28"/>
        <v>#REF!</v>
      </c>
      <c r="AF83" s="498" t="e">
        <f t="shared" si="28"/>
        <v>#REF!</v>
      </c>
      <c r="AG83" s="498" t="e">
        <f t="shared" si="28"/>
        <v>#REF!</v>
      </c>
      <c r="AH83" s="498" t="e">
        <f t="shared" si="28"/>
        <v>#REF!</v>
      </c>
      <c r="AI83" s="498" t="e">
        <f t="shared" si="28"/>
        <v>#REF!</v>
      </c>
      <c r="AJ83" s="498" t="e">
        <f t="shared" si="28"/>
        <v>#REF!</v>
      </c>
      <c r="AK83" s="498" t="e">
        <f t="shared" si="28"/>
        <v>#REF!</v>
      </c>
      <c r="AL83" s="498" t="e">
        <f t="shared" si="28"/>
        <v>#REF!</v>
      </c>
      <c r="AM83" s="498" t="e">
        <f t="shared" si="28"/>
        <v>#REF!</v>
      </c>
      <c r="AN83" s="498" t="e">
        <f t="shared" si="28"/>
        <v>#REF!</v>
      </c>
      <c r="AO83" s="498" t="e">
        <f t="shared" si="28"/>
        <v>#REF!</v>
      </c>
      <c r="AP83" s="498" t="e">
        <f t="shared" si="28"/>
        <v>#REF!</v>
      </c>
      <c r="AQ83" s="498" t="e">
        <f t="shared" si="28"/>
        <v>#REF!</v>
      </c>
      <c r="AR83" s="498" t="e">
        <f t="shared" si="28"/>
        <v>#REF!</v>
      </c>
      <c r="AS83" s="498" t="e">
        <f t="shared" si="28"/>
        <v>#REF!</v>
      </c>
      <c r="AT83" s="498" t="e">
        <f t="shared" ref="AT83:BC83" si="29">(SUM(AT43:AT43))*$C$83</f>
        <v>#REF!</v>
      </c>
      <c r="AU83" s="498" t="e">
        <f t="shared" si="29"/>
        <v>#REF!</v>
      </c>
      <c r="AV83" s="498" t="e">
        <f t="shared" si="29"/>
        <v>#REF!</v>
      </c>
      <c r="AW83" s="498" t="e">
        <f t="shared" si="29"/>
        <v>#REF!</v>
      </c>
      <c r="AX83" s="498" t="e">
        <f t="shared" si="29"/>
        <v>#REF!</v>
      </c>
      <c r="AY83" s="498" t="e">
        <f t="shared" si="29"/>
        <v>#REF!</v>
      </c>
      <c r="AZ83" s="498" t="e">
        <f t="shared" si="29"/>
        <v>#REF!</v>
      </c>
      <c r="BA83" s="498" t="e">
        <f t="shared" si="29"/>
        <v>#REF!</v>
      </c>
      <c r="BB83" s="498" t="e">
        <f t="shared" si="29"/>
        <v>#REF!</v>
      </c>
      <c r="BC83" s="603" t="e">
        <f t="shared" si="29"/>
        <v>#REF!</v>
      </c>
    </row>
    <row r="84" spans="1:89" s="396" customFormat="1" ht="15" hidden="1" customHeight="1">
      <c r="B84" s="398" t="s">
        <v>248</v>
      </c>
      <c r="C84" s="500">
        <f>'2.  Scheme Wide'!E27</f>
        <v>0.1</v>
      </c>
      <c r="D84" s="403" t="e">
        <f>SUM(F84:BC84)</f>
        <v>#REF!</v>
      </c>
      <c r="E84" s="501"/>
      <c r="F84" s="498" t="e">
        <f t="shared" ref="F84:AS84" si="30">(SUM(F45:F48))*$C$84</f>
        <v>#REF!</v>
      </c>
      <c r="G84" s="498" t="e">
        <f t="shared" si="30"/>
        <v>#REF!</v>
      </c>
      <c r="H84" s="498" t="e">
        <f t="shared" si="30"/>
        <v>#REF!</v>
      </c>
      <c r="I84" s="498" t="e">
        <f t="shared" si="30"/>
        <v>#REF!</v>
      </c>
      <c r="J84" s="498" t="e">
        <f t="shared" si="30"/>
        <v>#REF!</v>
      </c>
      <c r="K84" s="498" t="e">
        <f t="shared" si="30"/>
        <v>#REF!</v>
      </c>
      <c r="L84" s="498" t="e">
        <f t="shared" si="30"/>
        <v>#REF!</v>
      </c>
      <c r="M84" s="498" t="e">
        <f t="shared" si="30"/>
        <v>#REF!</v>
      </c>
      <c r="N84" s="498" t="e">
        <f t="shared" si="30"/>
        <v>#REF!</v>
      </c>
      <c r="O84" s="498" t="e">
        <f t="shared" si="30"/>
        <v>#REF!</v>
      </c>
      <c r="P84" s="498" t="e">
        <f t="shared" si="30"/>
        <v>#REF!</v>
      </c>
      <c r="Q84" s="498" t="e">
        <f t="shared" si="30"/>
        <v>#REF!</v>
      </c>
      <c r="R84" s="498" t="e">
        <f t="shared" si="30"/>
        <v>#REF!</v>
      </c>
      <c r="S84" s="498" t="e">
        <f t="shared" si="30"/>
        <v>#REF!</v>
      </c>
      <c r="T84" s="498" t="e">
        <f t="shared" si="30"/>
        <v>#REF!</v>
      </c>
      <c r="U84" s="498" t="e">
        <f t="shared" si="30"/>
        <v>#REF!</v>
      </c>
      <c r="V84" s="498" t="e">
        <f t="shared" si="30"/>
        <v>#REF!</v>
      </c>
      <c r="W84" s="498" t="e">
        <f t="shared" si="30"/>
        <v>#REF!</v>
      </c>
      <c r="X84" s="498" t="e">
        <f t="shared" si="30"/>
        <v>#REF!</v>
      </c>
      <c r="Y84" s="498" t="e">
        <f t="shared" si="30"/>
        <v>#REF!</v>
      </c>
      <c r="Z84" s="498" t="e">
        <f t="shared" si="30"/>
        <v>#REF!</v>
      </c>
      <c r="AA84" s="498" t="e">
        <f t="shared" si="30"/>
        <v>#REF!</v>
      </c>
      <c r="AB84" s="498" t="e">
        <f t="shared" si="30"/>
        <v>#REF!</v>
      </c>
      <c r="AC84" s="498" t="e">
        <f t="shared" si="30"/>
        <v>#REF!</v>
      </c>
      <c r="AD84" s="498" t="e">
        <f t="shared" si="30"/>
        <v>#REF!</v>
      </c>
      <c r="AE84" s="498" t="e">
        <f t="shared" si="30"/>
        <v>#REF!</v>
      </c>
      <c r="AF84" s="498" t="e">
        <f t="shared" si="30"/>
        <v>#REF!</v>
      </c>
      <c r="AG84" s="498" t="e">
        <f t="shared" si="30"/>
        <v>#REF!</v>
      </c>
      <c r="AH84" s="498" t="e">
        <f t="shared" si="30"/>
        <v>#REF!</v>
      </c>
      <c r="AI84" s="498" t="e">
        <f t="shared" si="30"/>
        <v>#REF!</v>
      </c>
      <c r="AJ84" s="498" t="e">
        <f t="shared" si="30"/>
        <v>#REF!</v>
      </c>
      <c r="AK84" s="498" t="e">
        <f t="shared" si="30"/>
        <v>#REF!</v>
      </c>
      <c r="AL84" s="498" t="e">
        <f t="shared" si="30"/>
        <v>#REF!</v>
      </c>
      <c r="AM84" s="498" t="e">
        <f t="shared" si="30"/>
        <v>#REF!</v>
      </c>
      <c r="AN84" s="498" t="e">
        <f t="shared" si="30"/>
        <v>#REF!</v>
      </c>
      <c r="AO84" s="498" t="e">
        <f t="shared" si="30"/>
        <v>#REF!</v>
      </c>
      <c r="AP84" s="498" t="e">
        <f t="shared" si="30"/>
        <v>#REF!</v>
      </c>
      <c r="AQ84" s="498" t="e">
        <f t="shared" si="30"/>
        <v>#REF!</v>
      </c>
      <c r="AR84" s="498" t="e">
        <f t="shared" si="30"/>
        <v>#REF!</v>
      </c>
      <c r="AS84" s="498" t="e">
        <f t="shared" si="30"/>
        <v>#REF!</v>
      </c>
      <c r="AT84" s="498" t="e">
        <f t="shared" ref="AT84:BC84" si="31">(SUM(AT45:AT48))*$C$84</f>
        <v>#REF!</v>
      </c>
      <c r="AU84" s="498" t="e">
        <f t="shared" si="31"/>
        <v>#REF!</v>
      </c>
      <c r="AV84" s="498" t="e">
        <f t="shared" si="31"/>
        <v>#REF!</v>
      </c>
      <c r="AW84" s="498" t="e">
        <f t="shared" si="31"/>
        <v>#REF!</v>
      </c>
      <c r="AX84" s="498" t="e">
        <f t="shared" si="31"/>
        <v>#REF!</v>
      </c>
      <c r="AY84" s="498" t="e">
        <f t="shared" si="31"/>
        <v>#REF!</v>
      </c>
      <c r="AZ84" s="498" t="e">
        <f t="shared" si="31"/>
        <v>#REF!</v>
      </c>
      <c r="BA84" s="498" t="e">
        <f t="shared" si="31"/>
        <v>#REF!</v>
      </c>
      <c r="BB84" s="498" t="e">
        <f t="shared" si="31"/>
        <v>#REF!</v>
      </c>
      <c r="BC84" s="603" t="e">
        <f t="shared" si="31"/>
        <v>#REF!</v>
      </c>
    </row>
    <row r="85" spans="1:89" s="396" customFormat="1" ht="15" hidden="1" customHeight="1">
      <c r="B85" s="506" t="s">
        <v>255</v>
      </c>
      <c r="C85" s="500">
        <f>'2.  Scheme Wide'!E28</f>
        <v>0.1</v>
      </c>
      <c r="D85" s="403" t="e">
        <f>SUM(F85:BC85)</f>
        <v>#REF!</v>
      </c>
      <c r="E85" s="501"/>
      <c r="F85" s="498" t="e">
        <f t="shared" ref="F85:AS85" si="32">(SUM(F50:F57))*$C$85</f>
        <v>#REF!</v>
      </c>
      <c r="G85" s="498" t="e">
        <f t="shared" si="32"/>
        <v>#REF!</v>
      </c>
      <c r="H85" s="498" t="e">
        <f t="shared" si="32"/>
        <v>#REF!</v>
      </c>
      <c r="I85" s="498" t="e">
        <f t="shared" si="32"/>
        <v>#REF!</v>
      </c>
      <c r="J85" s="498" t="e">
        <f t="shared" si="32"/>
        <v>#REF!</v>
      </c>
      <c r="K85" s="498" t="e">
        <f t="shared" si="32"/>
        <v>#REF!</v>
      </c>
      <c r="L85" s="498" t="e">
        <f t="shared" si="32"/>
        <v>#REF!</v>
      </c>
      <c r="M85" s="498" t="e">
        <f t="shared" si="32"/>
        <v>#REF!</v>
      </c>
      <c r="N85" s="498" t="e">
        <f t="shared" si="32"/>
        <v>#REF!</v>
      </c>
      <c r="O85" s="498" t="e">
        <f t="shared" si="32"/>
        <v>#REF!</v>
      </c>
      <c r="P85" s="498" t="e">
        <f t="shared" si="32"/>
        <v>#REF!</v>
      </c>
      <c r="Q85" s="498" t="e">
        <f t="shared" si="32"/>
        <v>#REF!</v>
      </c>
      <c r="R85" s="498" t="e">
        <f t="shared" si="32"/>
        <v>#REF!</v>
      </c>
      <c r="S85" s="498" t="e">
        <f t="shared" si="32"/>
        <v>#REF!</v>
      </c>
      <c r="T85" s="498" t="e">
        <f t="shared" si="32"/>
        <v>#REF!</v>
      </c>
      <c r="U85" s="498" t="e">
        <f t="shared" si="32"/>
        <v>#REF!</v>
      </c>
      <c r="V85" s="498" t="e">
        <f t="shared" si="32"/>
        <v>#REF!</v>
      </c>
      <c r="W85" s="498" t="e">
        <f t="shared" si="32"/>
        <v>#REF!</v>
      </c>
      <c r="X85" s="498" t="e">
        <f t="shared" si="32"/>
        <v>#REF!</v>
      </c>
      <c r="Y85" s="498" t="e">
        <f t="shared" si="32"/>
        <v>#REF!</v>
      </c>
      <c r="Z85" s="498" t="e">
        <f t="shared" si="32"/>
        <v>#REF!</v>
      </c>
      <c r="AA85" s="498" t="e">
        <f t="shared" si="32"/>
        <v>#REF!</v>
      </c>
      <c r="AB85" s="498" t="e">
        <f t="shared" si="32"/>
        <v>#REF!</v>
      </c>
      <c r="AC85" s="498" t="e">
        <f t="shared" si="32"/>
        <v>#REF!</v>
      </c>
      <c r="AD85" s="498" t="e">
        <f t="shared" si="32"/>
        <v>#REF!</v>
      </c>
      <c r="AE85" s="498" t="e">
        <f t="shared" si="32"/>
        <v>#REF!</v>
      </c>
      <c r="AF85" s="498" t="e">
        <f t="shared" si="32"/>
        <v>#REF!</v>
      </c>
      <c r="AG85" s="498" t="e">
        <f t="shared" si="32"/>
        <v>#REF!</v>
      </c>
      <c r="AH85" s="498" t="e">
        <f t="shared" si="32"/>
        <v>#REF!</v>
      </c>
      <c r="AI85" s="498" t="e">
        <f t="shared" si="32"/>
        <v>#REF!</v>
      </c>
      <c r="AJ85" s="498" t="e">
        <f t="shared" si="32"/>
        <v>#REF!</v>
      </c>
      <c r="AK85" s="498" t="e">
        <f t="shared" si="32"/>
        <v>#REF!</v>
      </c>
      <c r="AL85" s="498" t="e">
        <f t="shared" si="32"/>
        <v>#REF!</v>
      </c>
      <c r="AM85" s="498" t="e">
        <f t="shared" si="32"/>
        <v>#REF!</v>
      </c>
      <c r="AN85" s="498" t="e">
        <f t="shared" si="32"/>
        <v>#REF!</v>
      </c>
      <c r="AO85" s="498" t="e">
        <f t="shared" si="32"/>
        <v>#REF!</v>
      </c>
      <c r="AP85" s="498" t="e">
        <f t="shared" si="32"/>
        <v>#REF!</v>
      </c>
      <c r="AQ85" s="498" t="e">
        <f t="shared" si="32"/>
        <v>#REF!</v>
      </c>
      <c r="AR85" s="498" t="e">
        <f t="shared" si="32"/>
        <v>#REF!</v>
      </c>
      <c r="AS85" s="498" t="e">
        <f t="shared" si="32"/>
        <v>#REF!</v>
      </c>
      <c r="AT85" s="498" t="e">
        <f t="shared" ref="AT85:BC85" si="33">(SUM(AT50:AT57))*$C$85</f>
        <v>#REF!</v>
      </c>
      <c r="AU85" s="498" t="e">
        <f t="shared" si="33"/>
        <v>#REF!</v>
      </c>
      <c r="AV85" s="498" t="e">
        <f t="shared" si="33"/>
        <v>#REF!</v>
      </c>
      <c r="AW85" s="498" t="e">
        <f t="shared" si="33"/>
        <v>#REF!</v>
      </c>
      <c r="AX85" s="498" t="e">
        <f t="shared" si="33"/>
        <v>#REF!</v>
      </c>
      <c r="AY85" s="498" t="e">
        <f t="shared" si="33"/>
        <v>#REF!</v>
      </c>
      <c r="AZ85" s="498" t="e">
        <f t="shared" si="33"/>
        <v>#REF!</v>
      </c>
      <c r="BA85" s="498" t="e">
        <f t="shared" si="33"/>
        <v>#REF!</v>
      </c>
      <c r="BB85" s="498" t="e">
        <f t="shared" si="33"/>
        <v>#REF!</v>
      </c>
      <c r="BC85" s="603" t="e">
        <f t="shared" si="33"/>
        <v>#REF!</v>
      </c>
    </row>
    <row r="86" spans="1:89" s="396" customFormat="1" ht="15" hidden="1" customHeight="1">
      <c r="B86" s="506" t="s">
        <v>256</v>
      </c>
      <c r="C86" s="500">
        <f>'2.  Scheme Wide'!E29</f>
        <v>0.4</v>
      </c>
      <c r="D86" s="403" t="e">
        <f>SUM(F86:BC86)</f>
        <v>#REF!</v>
      </c>
      <c r="E86" s="501"/>
      <c r="F86" s="498" t="e">
        <f t="shared" ref="F86:AS86" si="34">(SUM(F59:F66))*$C$86</f>
        <v>#REF!</v>
      </c>
      <c r="G86" s="498" t="e">
        <f t="shared" si="34"/>
        <v>#REF!</v>
      </c>
      <c r="H86" s="498" t="e">
        <f t="shared" si="34"/>
        <v>#REF!</v>
      </c>
      <c r="I86" s="498" t="e">
        <f t="shared" si="34"/>
        <v>#REF!</v>
      </c>
      <c r="J86" s="498" t="e">
        <f t="shared" si="34"/>
        <v>#REF!</v>
      </c>
      <c r="K86" s="498" t="e">
        <f t="shared" si="34"/>
        <v>#REF!</v>
      </c>
      <c r="L86" s="498" t="e">
        <f t="shared" si="34"/>
        <v>#REF!</v>
      </c>
      <c r="M86" s="498" t="e">
        <f t="shared" si="34"/>
        <v>#REF!</v>
      </c>
      <c r="N86" s="498" t="e">
        <f t="shared" si="34"/>
        <v>#REF!</v>
      </c>
      <c r="O86" s="498" t="e">
        <f t="shared" si="34"/>
        <v>#REF!</v>
      </c>
      <c r="P86" s="498" t="e">
        <f t="shared" si="34"/>
        <v>#REF!</v>
      </c>
      <c r="Q86" s="498" t="e">
        <f t="shared" si="34"/>
        <v>#REF!</v>
      </c>
      <c r="R86" s="498" t="e">
        <f t="shared" si="34"/>
        <v>#REF!</v>
      </c>
      <c r="S86" s="498" t="e">
        <f t="shared" si="34"/>
        <v>#REF!</v>
      </c>
      <c r="T86" s="498" t="e">
        <f t="shared" si="34"/>
        <v>#REF!</v>
      </c>
      <c r="U86" s="498" t="e">
        <f t="shared" si="34"/>
        <v>#REF!</v>
      </c>
      <c r="V86" s="498" t="e">
        <f t="shared" si="34"/>
        <v>#REF!</v>
      </c>
      <c r="W86" s="498" t="e">
        <f t="shared" si="34"/>
        <v>#REF!</v>
      </c>
      <c r="X86" s="498" t="e">
        <f t="shared" si="34"/>
        <v>#REF!</v>
      </c>
      <c r="Y86" s="498" t="e">
        <f t="shared" si="34"/>
        <v>#REF!</v>
      </c>
      <c r="Z86" s="498" t="e">
        <f t="shared" si="34"/>
        <v>#REF!</v>
      </c>
      <c r="AA86" s="498" t="e">
        <f t="shared" si="34"/>
        <v>#REF!</v>
      </c>
      <c r="AB86" s="498" t="e">
        <f t="shared" si="34"/>
        <v>#REF!</v>
      </c>
      <c r="AC86" s="498" t="e">
        <f t="shared" si="34"/>
        <v>#REF!</v>
      </c>
      <c r="AD86" s="498" t="e">
        <f t="shared" si="34"/>
        <v>#REF!</v>
      </c>
      <c r="AE86" s="498" t="e">
        <f t="shared" si="34"/>
        <v>#REF!</v>
      </c>
      <c r="AF86" s="498" t="e">
        <f t="shared" si="34"/>
        <v>#REF!</v>
      </c>
      <c r="AG86" s="498" t="e">
        <f t="shared" si="34"/>
        <v>#REF!</v>
      </c>
      <c r="AH86" s="498" t="e">
        <f t="shared" si="34"/>
        <v>#REF!</v>
      </c>
      <c r="AI86" s="498" t="e">
        <f t="shared" si="34"/>
        <v>#REF!</v>
      </c>
      <c r="AJ86" s="498" t="e">
        <f t="shared" si="34"/>
        <v>#REF!</v>
      </c>
      <c r="AK86" s="498" t="e">
        <f t="shared" si="34"/>
        <v>#REF!</v>
      </c>
      <c r="AL86" s="498" t="e">
        <f t="shared" si="34"/>
        <v>#REF!</v>
      </c>
      <c r="AM86" s="498" t="e">
        <f t="shared" si="34"/>
        <v>#REF!</v>
      </c>
      <c r="AN86" s="498" t="e">
        <f t="shared" si="34"/>
        <v>#REF!</v>
      </c>
      <c r="AO86" s="498" t="e">
        <f t="shared" si="34"/>
        <v>#REF!</v>
      </c>
      <c r="AP86" s="498" t="e">
        <f t="shared" si="34"/>
        <v>#REF!</v>
      </c>
      <c r="AQ86" s="498" t="e">
        <f t="shared" si="34"/>
        <v>#REF!</v>
      </c>
      <c r="AR86" s="498" t="e">
        <f t="shared" si="34"/>
        <v>#REF!</v>
      </c>
      <c r="AS86" s="498" t="e">
        <f t="shared" si="34"/>
        <v>#REF!</v>
      </c>
      <c r="AT86" s="498" t="e">
        <f t="shared" ref="AT86:BC86" si="35">(SUM(AT59:AT66))*$C$86</f>
        <v>#REF!</v>
      </c>
      <c r="AU86" s="498" t="e">
        <f t="shared" si="35"/>
        <v>#REF!</v>
      </c>
      <c r="AV86" s="498" t="e">
        <f t="shared" si="35"/>
        <v>#REF!</v>
      </c>
      <c r="AW86" s="498" t="e">
        <f t="shared" si="35"/>
        <v>#REF!</v>
      </c>
      <c r="AX86" s="498" t="e">
        <f t="shared" si="35"/>
        <v>#REF!</v>
      </c>
      <c r="AY86" s="498" t="e">
        <f t="shared" si="35"/>
        <v>#REF!</v>
      </c>
      <c r="AZ86" s="498" t="e">
        <f t="shared" si="35"/>
        <v>#REF!</v>
      </c>
      <c r="BA86" s="498" t="e">
        <f t="shared" si="35"/>
        <v>#REF!</v>
      </c>
      <c r="BB86" s="498" t="e">
        <f t="shared" si="35"/>
        <v>#REF!</v>
      </c>
      <c r="BC86" s="603" t="e">
        <f t="shared" si="35"/>
        <v>#REF!</v>
      </c>
    </row>
    <row r="87" spans="1:89" s="396" customFormat="1" ht="15" hidden="1" customHeight="1">
      <c r="C87" s="387"/>
      <c r="D87" s="408"/>
      <c r="E87" s="494"/>
      <c r="F87" s="387"/>
      <c r="G87" s="387"/>
      <c r="H87" s="387"/>
      <c r="I87" s="387"/>
      <c r="J87" s="387"/>
      <c r="K87" s="387"/>
      <c r="L87" s="387"/>
      <c r="M87" s="387"/>
      <c r="N87" s="387"/>
      <c r="O87" s="387"/>
      <c r="P87" s="387"/>
      <c r="Q87" s="387"/>
      <c r="R87" s="387"/>
      <c r="S87" s="387"/>
      <c r="T87" s="387"/>
      <c r="U87" s="387"/>
      <c r="V87" s="387"/>
      <c r="W87" s="387"/>
      <c r="X87" s="387"/>
      <c r="Y87" s="387"/>
      <c r="Z87" s="387"/>
      <c r="AA87" s="387"/>
      <c r="AB87" s="387"/>
      <c r="AC87" s="387"/>
      <c r="AD87" s="387"/>
      <c r="AE87" s="387"/>
      <c r="AF87" s="387"/>
      <c r="AG87" s="387"/>
      <c r="AH87" s="387"/>
      <c r="AI87" s="387"/>
      <c r="AJ87" s="387"/>
      <c r="AK87" s="387"/>
      <c r="AL87" s="387"/>
      <c r="AM87" s="387"/>
      <c r="AN87" s="387"/>
      <c r="AO87" s="387"/>
      <c r="AP87" s="387"/>
      <c r="AQ87" s="387"/>
      <c r="AR87" s="387"/>
      <c r="AS87" s="387"/>
      <c r="AT87" s="387"/>
      <c r="AU87" s="387"/>
      <c r="AV87" s="387"/>
      <c r="AW87" s="387"/>
      <c r="AX87" s="387"/>
      <c r="AY87" s="387"/>
      <c r="AZ87" s="387"/>
      <c r="BA87" s="387"/>
      <c r="BB87" s="387"/>
      <c r="BC87" s="601"/>
    </row>
    <row r="88" spans="1:89" ht="15" customHeight="1">
      <c r="B88" s="220" t="s">
        <v>303</v>
      </c>
      <c r="C88" s="652">
        <f>'2.  Scheme Wide'!E44</f>
        <v>0</v>
      </c>
      <c r="E88" s="95"/>
      <c r="F88" s="653"/>
      <c r="G88" s="653"/>
      <c r="H88" s="653"/>
      <c r="I88" s="653">
        <v>1</v>
      </c>
      <c r="J88" s="653">
        <f t="shared" ref="J88:AL88" si="36">I88+(I88*$C$88)</f>
        <v>1</v>
      </c>
      <c r="K88" s="653">
        <f t="shared" si="36"/>
        <v>1</v>
      </c>
      <c r="L88" s="653">
        <f t="shared" si="36"/>
        <v>1</v>
      </c>
      <c r="M88" s="653">
        <f t="shared" si="36"/>
        <v>1</v>
      </c>
      <c r="N88" s="653">
        <f t="shared" si="36"/>
        <v>1</v>
      </c>
      <c r="O88" s="653">
        <f t="shared" si="36"/>
        <v>1</v>
      </c>
      <c r="P88" s="653">
        <f t="shared" si="36"/>
        <v>1</v>
      </c>
      <c r="Q88" s="653">
        <f t="shared" si="36"/>
        <v>1</v>
      </c>
      <c r="R88" s="653">
        <f t="shared" si="36"/>
        <v>1</v>
      </c>
      <c r="S88" s="653">
        <f t="shared" si="36"/>
        <v>1</v>
      </c>
      <c r="T88" s="653">
        <f t="shared" si="36"/>
        <v>1</v>
      </c>
      <c r="U88" s="653">
        <f t="shared" si="36"/>
        <v>1</v>
      </c>
      <c r="V88" s="653">
        <f t="shared" si="36"/>
        <v>1</v>
      </c>
      <c r="W88" s="653">
        <f t="shared" si="36"/>
        <v>1</v>
      </c>
      <c r="X88" s="653">
        <f t="shared" si="36"/>
        <v>1</v>
      </c>
      <c r="Y88" s="653">
        <f t="shared" si="36"/>
        <v>1</v>
      </c>
      <c r="Z88" s="653">
        <f t="shared" si="36"/>
        <v>1</v>
      </c>
      <c r="AA88" s="653">
        <f t="shared" si="36"/>
        <v>1</v>
      </c>
      <c r="AB88" s="653">
        <f t="shared" si="36"/>
        <v>1</v>
      </c>
      <c r="AC88" s="653">
        <f t="shared" si="36"/>
        <v>1</v>
      </c>
      <c r="AD88" s="653">
        <f t="shared" si="36"/>
        <v>1</v>
      </c>
      <c r="AE88" s="653">
        <f t="shared" si="36"/>
        <v>1</v>
      </c>
      <c r="AF88" s="653">
        <f t="shared" si="36"/>
        <v>1</v>
      </c>
      <c r="AG88" s="653">
        <f t="shared" si="36"/>
        <v>1</v>
      </c>
      <c r="AH88" s="653">
        <f t="shared" si="36"/>
        <v>1</v>
      </c>
      <c r="AI88" s="653">
        <f t="shared" si="36"/>
        <v>1</v>
      </c>
      <c r="AJ88" s="653">
        <f t="shared" si="36"/>
        <v>1</v>
      </c>
      <c r="AK88" s="653">
        <f t="shared" si="36"/>
        <v>1</v>
      </c>
      <c r="AL88" s="653">
        <f t="shared" si="36"/>
        <v>1</v>
      </c>
      <c r="AM88" s="653">
        <f t="shared" ref="AM88:BC88" si="37">AL88+(AL88*$C$88)</f>
        <v>1</v>
      </c>
      <c r="AN88" s="653">
        <f t="shared" si="37"/>
        <v>1</v>
      </c>
      <c r="AO88" s="653">
        <f t="shared" si="37"/>
        <v>1</v>
      </c>
      <c r="AP88" s="653">
        <f t="shared" si="37"/>
        <v>1</v>
      </c>
      <c r="AQ88" s="653">
        <f t="shared" si="37"/>
        <v>1</v>
      </c>
      <c r="AR88" s="653">
        <f t="shared" si="37"/>
        <v>1</v>
      </c>
      <c r="AS88" s="653">
        <f t="shared" si="37"/>
        <v>1</v>
      </c>
      <c r="AT88" s="653">
        <f t="shared" si="37"/>
        <v>1</v>
      </c>
      <c r="AU88" s="653">
        <f t="shared" si="37"/>
        <v>1</v>
      </c>
      <c r="AV88" s="653">
        <f t="shared" si="37"/>
        <v>1</v>
      </c>
      <c r="AW88" s="653">
        <f t="shared" si="37"/>
        <v>1</v>
      </c>
      <c r="AX88" s="653">
        <f t="shared" si="37"/>
        <v>1</v>
      </c>
      <c r="AY88" s="653">
        <f t="shared" si="37"/>
        <v>1</v>
      </c>
      <c r="AZ88" s="653">
        <f t="shared" si="37"/>
        <v>1</v>
      </c>
      <c r="BA88" s="653">
        <f t="shared" si="37"/>
        <v>1</v>
      </c>
      <c r="BB88" s="653">
        <f t="shared" si="37"/>
        <v>1</v>
      </c>
      <c r="BC88" s="654">
        <f t="shared" si="37"/>
        <v>1</v>
      </c>
      <c r="BD88" s="653">
        <f t="shared" ref="BD88:CK88" si="38">BC88+(BC88*$C$88)</f>
        <v>1</v>
      </c>
      <c r="BE88" s="653">
        <f t="shared" si="38"/>
        <v>1</v>
      </c>
      <c r="BF88" s="653">
        <f t="shared" si="38"/>
        <v>1</v>
      </c>
      <c r="BG88" s="653">
        <f t="shared" si="38"/>
        <v>1</v>
      </c>
      <c r="BH88" s="653">
        <f t="shared" si="38"/>
        <v>1</v>
      </c>
      <c r="BI88" s="653">
        <f t="shared" si="38"/>
        <v>1</v>
      </c>
      <c r="BJ88" s="653">
        <f t="shared" si="38"/>
        <v>1</v>
      </c>
      <c r="BK88" s="653">
        <f t="shared" si="38"/>
        <v>1</v>
      </c>
      <c r="BL88" s="653">
        <f t="shared" si="38"/>
        <v>1</v>
      </c>
      <c r="BM88" s="653">
        <f t="shared" si="38"/>
        <v>1</v>
      </c>
      <c r="BN88" s="653">
        <f t="shared" si="38"/>
        <v>1</v>
      </c>
      <c r="BO88" s="653">
        <f t="shared" si="38"/>
        <v>1</v>
      </c>
      <c r="BP88" s="653">
        <f t="shared" si="38"/>
        <v>1</v>
      </c>
      <c r="BQ88" s="653">
        <f t="shared" si="38"/>
        <v>1</v>
      </c>
      <c r="BR88" s="653">
        <f t="shared" si="38"/>
        <v>1</v>
      </c>
      <c r="BS88" s="653">
        <f t="shared" si="38"/>
        <v>1</v>
      </c>
      <c r="BT88" s="653">
        <f t="shared" si="38"/>
        <v>1</v>
      </c>
      <c r="BU88" s="653">
        <f t="shared" si="38"/>
        <v>1</v>
      </c>
      <c r="BV88" s="653">
        <f t="shared" si="38"/>
        <v>1</v>
      </c>
      <c r="BW88" s="653">
        <f t="shared" si="38"/>
        <v>1</v>
      </c>
      <c r="BX88" s="653">
        <f t="shared" si="38"/>
        <v>1</v>
      </c>
      <c r="BY88" s="653">
        <f t="shared" si="38"/>
        <v>1</v>
      </c>
      <c r="BZ88" s="653">
        <f t="shared" si="38"/>
        <v>1</v>
      </c>
      <c r="CA88" s="653">
        <f t="shared" si="38"/>
        <v>1</v>
      </c>
      <c r="CB88" s="653">
        <f t="shared" si="38"/>
        <v>1</v>
      </c>
      <c r="CC88" s="653">
        <f t="shared" si="38"/>
        <v>1</v>
      </c>
      <c r="CD88" s="653">
        <f t="shared" si="38"/>
        <v>1</v>
      </c>
      <c r="CE88" s="653">
        <f t="shared" si="38"/>
        <v>1</v>
      </c>
      <c r="CF88" s="653">
        <f t="shared" si="38"/>
        <v>1</v>
      </c>
      <c r="CG88" s="653">
        <f t="shared" si="38"/>
        <v>1</v>
      </c>
      <c r="CH88" s="653">
        <f t="shared" si="38"/>
        <v>1</v>
      </c>
      <c r="CI88" s="653">
        <f t="shared" si="38"/>
        <v>1</v>
      </c>
      <c r="CJ88" s="653">
        <f t="shared" si="38"/>
        <v>1</v>
      </c>
      <c r="CK88" s="653">
        <f t="shared" si="38"/>
        <v>1</v>
      </c>
    </row>
    <row r="89" spans="1:89" s="5" customFormat="1" ht="15" customHeight="1">
      <c r="B89" s="180" t="s">
        <v>656</v>
      </c>
      <c r="C89" s="181"/>
      <c r="D89" s="182">
        <f>SUM(G89:CK89)</f>
        <v>1340.5999999999995</v>
      </c>
      <c r="E89" s="101"/>
      <c r="F89" s="131"/>
      <c r="G89" s="131"/>
      <c r="H89" s="131">
        <f>('2.  Scheme Wide'!H90*H88)-'2.  Scheme Wide'!H94</f>
        <v>0</v>
      </c>
      <c r="I89" s="131">
        <f>('2.  Scheme Wide'!I90*I88)-'2.  Scheme Wide'!I94</f>
        <v>0</v>
      </c>
      <c r="J89" s="131">
        <f>('2.  Scheme Wide'!J90*J88)-'2.  Scheme Wide'!J94</f>
        <v>0</v>
      </c>
      <c r="K89" s="131">
        <f>('2.  Scheme Wide'!K90*K88)-'2.  Scheme Wide'!K94</f>
        <v>0</v>
      </c>
      <c r="L89" s="131">
        <f>('2.  Scheme Wide'!L90*L88)-'2.  Scheme Wide'!L94</f>
        <v>0</v>
      </c>
      <c r="M89" s="131">
        <f>('2.  Scheme Wide'!M90*M88)-'2.  Scheme Wide'!M94</f>
        <v>0</v>
      </c>
      <c r="N89" s="131">
        <f>('2.  Scheme Wide'!N90*N88)-'2.  Scheme Wide'!N94</f>
        <v>0</v>
      </c>
      <c r="O89" s="131">
        <f>('2.  Scheme Wide'!O90*O88)-'2.  Scheme Wide'!O94</f>
        <v>0</v>
      </c>
      <c r="P89" s="131">
        <f>('2.  Scheme Wide'!P90*P88)-'2.  Scheme Wide'!P94</f>
        <v>1.4</v>
      </c>
      <c r="Q89" s="131">
        <f>('2.  Scheme Wide'!Q90*Q88)-'2.  Scheme Wide'!Q94</f>
        <v>1.4</v>
      </c>
      <c r="R89" s="131">
        <f>('2.  Scheme Wide'!R90*R88)-'2.  Scheme Wide'!R94</f>
        <v>5.2</v>
      </c>
      <c r="S89" s="131">
        <f>('2.  Scheme Wide'!S90*S88)-'2.  Scheme Wide'!S94</f>
        <v>22</v>
      </c>
      <c r="T89" s="131">
        <f>('2.  Scheme Wide'!T90*T88)-'2.  Scheme Wide'!T94</f>
        <v>48.5</v>
      </c>
      <c r="U89" s="131">
        <f>('2.  Scheme Wide'!U90*U88)-'2.  Scheme Wide'!U94</f>
        <v>31.5</v>
      </c>
      <c r="V89" s="131">
        <f>('2.  Scheme Wide'!V90*V88)-'2.  Scheme Wide'!V94</f>
        <v>51.5</v>
      </c>
      <c r="W89" s="131">
        <f>('2.  Scheme Wide'!W90*W88)-'2.  Scheme Wide'!W94</f>
        <v>34.799999999999997</v>
      </c>
      <c r="X89" s="131">
        <f>('2.  Scheme Wide'!X90*X88)-'2.  Scheme Wide'!X94</f>
        <v>25.4</v>
      </c>
      <c r="Y89" s="131">
        <f>('2.  Scheme Wide'!Y90*Y88)-'2.  Scheme Wide'!Y94</f>
        <v>37.799999999999997</v>
      </c>
      <c r="Z89" s="131">
        <f>('2.  Scheme Wide'!Z90*Z88)-'2.  Scheme Wide'!Z94</f>
        <v>41.1</v>
      </c>
      <c r="AA89" s="131">
        <f>('2.  Scheme Wide'!AA90*AA88)-'2.  Scheme Wide'!AA94</f>
        <v>30.6</v>
      </c>
      <c r="AB89" s="131">
        <f>('2.  Scheme Wide'!AB90*AB88)-'2.  Scheme Wide'!AB94</f>
        <v>21.9</v>
      </c>
      <c r="AC89" s="131">
        <f>('2.  Scheme Wide'!AC90*AC88)-'2.  Scheme Wide'!AC94</f>
        <v>21.6</v>
      </c>
      <c r="AD89" s="131">
        <f>('2.  Scheme Wide'!AD90*AD88)-'2.  Scheme Wide'!AD94</f>
        <v>15.6</v>
      </c>
      <c r="AE89" s="131">
        <f>('2.  Scheme Wide'!AE90*AE88)-'2.  Scheme Wide'!AE94</f>
        <v>23.4</v>
      </c>
      <c r="AF89" s="131">
        <f>('2.  Scheme Wide'!AF90*AF88)-'2.  Scheme Wide'!AF94</f>
        <v>15.4</v>
      </c>
      <c r="AG89" s="131">
        <f>('2.  Scheme Wide'!AG90*AG88)-'2.  Scheme Wide'!AG94</f>
        <v>26.1</v>
      </c>
      <c r="AH89" s="131">
        <f>('2.  Scheme Wide'!AH90*AH88)-'2.  Scheme Wide'!AH94</f>
        <v>36.5</v>
      </c>
      <c r="AI89" s="131">
        <f>('2.  Scheme Wide'!AI90*AI88)-'2.  Scheme Wide'!AI94</f>
        <v>17.2</v>
      </c>
      <c r="AJ89" s="131">
        <f>('2.  Scheme Wide'!AJ90*AJ88)-'2.  Scheme Wide'!AJ94</f>
        <v>9</v>
      </c>
      <c r="AK89" s="131">
        <f>('2.  Scheme Wide'!AK90*AK88)-'2.  Scheme Wide'!AK94</f>
        <v>22.7</v>
      </c>
      <c r="AL89" s="131">
        <f>('2.  Scheme Wide'!AL90*AL88)-'2.  Scheme Wide'!AL94</f>
        <v>17.3</v>
      </c>
      <c r="AM89" s="131">
        <f>('2.  Scheme Wide'!AM90*AM88)-'2.  Scheme Wide'!AM94</f>
        <v>14.1</v>
      </c>
      <c r="AN89" s="131">
        <f>('2.  Scheme Wide'!AN90*AN88)-'2.  Scheme Wide'!AN94</f>
        <v>28.1</v>
      </c>
      <c r="AO89" s="131">
        <f>('2.  Scheme Wide'!AO90*AO88)-'2.  Scheme Wide'!AO94</f>
        <v>9.1</v>
      </c>
      <c r="AP89" s="131">
        <f>('2.  Scheme Wide'!AP90*AP88)-'2.  Scheme Wide'!AP94</f>
        <v>45.6</v>
      </c>
      <c r="AQ89" s="131">
        <f>('2.  Scheme Wide'!AQ90*AQ88)-'2.  Scheme Wide'!AQ94</f>
        <v>26.8</v>
      </c>
      <c r="AR89" s="131">
        <f>('2.  Scheme Wide'!AR90*AR88)-'2.  Scheme Wide'!AR94</f>
        <v>13.9</v>
      </c>
      <c r="AS89" s="131">
        <f>('2.  Scheme Wide'!AS90*AS88)-'2.  Scheme Wide'!AS94</f>
        <v>17.8</v>
      </c>
      <c r="AT89" s="131">
        <f>('2.  Scheme Wide'!AT90*AT88)-'2.  Scheme Wide'!AT94</f>
        <v>13.8</v>
      </c>
      <c r="AU89" s="131">
        <f>('2.  Scheme Wide'!AU90*AU88)-'2.  Scheme Wide'!AU94</f>
        <v>11.9</v>
      </c>
      <c r="AV89" s="131">
        <f>('2.  Scheme Wide'!AV90*AV88)-'2.  Scheme Wide'!AV94</f>
        <v>15.1</v>
      </c>
      <c r="AW89" s="131">
        <f>('2.  Scheme Wide'!AW90*AW88)-'2.  Scheme Wide'!AW94</f>
        <v>10.8</v>
      </c>
      <c r="AX89" s="131">
        <f>('2.  Scheme Wide'!AX90*AX88)-'2.  Scheme Wide'!AX94</f>
        <v>12.7</v>
      </c>
      <c r="AY89" s="131">
        <f>('2.  Scheme Wide'!AY90*AY88)-'2.  Scheme Wide'!AY94</f>
        <v>32.1</v>
      </c>
      <c r="AZ89" s="131">
        <f>('2.  Scheme Wide'!AZ90*AZ88)-'2.  Scheme Wide'!AZ94</f>
        <v>17.100000000000001</v>
      </c>
      <c r="BA89" s="131">
        <f>('2.  Scheme Wide'!BA90*BA88)-'2.  Scheme Wide'!BA94</f>
        <v>16.600000000000001</v>
      </c>
      <c r="BB89" s="131">
        <f>('2.  Scheme Wide'!BB90*BB88)-'2.  Scheme Wide'!BB94</f>
        <v>10.5</v>
      </c>
      <c r="BC89" s="131">
        <f>('2.  Scheme Wide'!BC90*BC88)-'2.  Scheme Wide'!BC94</f>
        <v>12.3</v>
      </c>
      <c r="BD89" s="131">
        <f>('2.  Scheme Wide'!BD90*BD88)-'2.  Scheme Wide'!BD94</f>
        <v>12.1</v>
      </c>
      <c r="BE89" s="131">
        <f>('2.  Scheme Wide'!BE90*BE88)-'2.  Scheme Wide'!BE94</f>
        <v>11.6</v>
      </c>
      <c r="BF89" s="131">
        <f>('2.  Scheme Wide'!BF90*BF88)-'2.  Scheme Wide'!BF94</f>
        <v>17</v>
      </c>
      <c r="BG89" s="131">
        <f>('2.  Scheme Wide'!BG90*BG88)-'2.  Scheme Wide'!BG94</f>
        <v>14</v>
      </c>
      <c r="BH89" s="131">
        <f>('2.  Scheme Wide'!BH90*BH88)-'2.  Scheme Wide'!BH94</f>
        <v>13.7</v>
      </c>
      <c r="BI89" s="131">
        <f>('2.  Scheme Wide'!BI90*BI88)-'2.  Scheme Wide'!BI94</f>
        <v>12</v>
      </c>
      <c r="BJ89" s="131">
        <f>('2.  Scheme Wide'!BJ90*BJ88)-'2.  Scheme Wide'!BJ94</f>
        <v>11.4</v>
      </c>
      <c r="BK89" s="131">
        <f>('2.  Scheme Wide'!BK90*BK88)-'2.  Scheme Wide'!BK94</f>
        <v>13.2</v>
      </c>
      <c r="BL89" s="131">
        <f>('2.  Scheme Wide'!BL90*BL88)-'2.  Scheme Wide'!BL94</f>
        <v>8.9</v>
      </c>
      <c r="BM89" s="131">
        <f>('2.  Scheme Wide'!BM90*BM88)-'2.  Scheme Wide'!BM94</f>
        <v>17.7</v>
      </c>
      <c r="BN89" s="131">
        <f>('2.  Scheme Wide'!BN90*BN88)-'2.  Scheme Wide'!BN94</f>
        <v>19.399999999999999</v>
      </c>
      <c r="BO89" s="131">
        <f>('2.  Scheme Wide'!BO90*BO88)-'2.  Scheme Wide'!BO94</f>
        <v>11.6</v>
      </c>
      <c r="BP89" s="131">
        <f>('2.  Scheme Wide'!BP90*BP88)-'2.  Scheme Wide'!BP94</f>
        <v>8</v>
      </c>
      <c r="BQ89" s="131">
        <f>('2.  Scheme Wide'!BQ90*BQ88)-'2.  Scheme Wide'!BQ94</f>
        <v>33.5</v>
      </c>
      <c r="BR89" s="131">
        <f>('2.  Scheme Wide'!BR90*BR88)-'2.  Scheme Wide'!BR94</f>
        <v>12.5</v>
      </c>
      <c r="BS89" s="131">
        <f>('2.  Scheme Wide'!BS90*BS88)-'2.  Scheme Wide'!BS94</f>
        <v>17.3</v>
      </c>
      <c r="BT89" s="131">
        <f>('2.  Scheme Wide'!BT90*BT88)-'2.  Scheme Wide'!BT94</f>
        <v>16.100000000000001</v>
      </c>
      <c r="BU89" s="131">
        <f>('2.  Scheme Wide'!BU90*BU88)-'2.  Scheme Wide'!BU94</f>
        <v>29.6</v>
      </c>
      <c r="BV89" s="131">
        <f>('2.  Scheme Wide'!BV90*BV88)-'2.  Scheme Wide'!BV94</f>
        <v>23.7</v>
      </c>
      <c r="BW89" s="131">
        <f>('2.  Scheme Wide'!BW90*BW88)-'2.  Scheme Wide'!BW94</f>
        <v>13.5</v>
      </c>
      <c r="BX89" s="131">
        <f>('2.  Scheme Wide'!BX90*BX88)-'2.  Scheme Wide'!BX94</f>
        <v>8.6999999999999993</v>
      </c>
      <c r="BY89" s="131">
        <f>('2.  Scheme Wide'!BY90*BY88)-'2.  Scheme Wide'!BY94</f>
        <v>12.1</v>
      </c>
      <c r="BZ89" s="131">
        <f>('2.  Scheme Wide'!BZ90*BZ88)-'2.  Scheme Wide'!BZ94</f>
        <v>14.1</v>
      </c>
      <c r="CA89" s="131">
        <f>('2.  Scheme Wide'!CA90*CA88)-'2.  Scheme Wide'!CA94</f>
        <v>19.2</v>
      </c>
      <c r="CB89" s="131">
        <f>('2.  Scheme Wide'!CB90*CB88)-'2.  Scheme Wide'!CB94</f>
        <v>12.6</v>
      </c>
      <c r="CC89" s="131">
        <f>('2.  Scheme Wide'!CC90*CC88)-'2.  Scheme Wide'!CC94</f>
        <v>11.6</v>
      </c>
      <c r="CD89" s="131">
        <f>('2.  Scheme Wide'!CD90*CD88)-'2.  Scheme Wide'!CD94</f>
        <v>8.3000000000000007</v>
      </c>
      <c r="CE89" s="131">
        <f>('2.  Scheme Wide'!CE90*CE88)-'2.  Scheme Wide'!CE94</f>
        <v>13.1</v>
      </c>
      <c r="CF89" s="131">
        <f>('2.  Scheme Wide'!CF90*CF88)-'2.  Scheme Wide'!CF94</f>
        <v>11</v>
      </c>
      <c r="CG89" s="131">
        <f>('2.  Scheme Wide'!CG90*CG88)-'2.  Scheme Wide'!CG94</f>
        <v>15.8</v>
      </c>
      <c r="CH89" s="131">
        <f>('2.  Scheme Wide'!CH90*CH88)-'2.  Scheme Wide'!CH94</f>
        <v>13.1</v>
      </c>
      <c r="CI89" s="131">
        <f>('2.  Scheme Wide'!CI90*CI88)-'2.  Scheme Wide'!CI94</f>
        <v>8.3000000000000007</v>
      </c>
      <c r="CJ89" s="131">
        <f>('2.  Scheme Wide'!CJ90*CJ88)-'2.  Scheme Wide'!CJ94</f>
        <v>4.5</v>
      </c>
      <c r="CK89" s="655">
        <f>('2.  Scheme Wide'!CK90*CK88)-'2.  Scheme Wide'!CK94</f>
        <v>5.2</v>
      </c>
    </row>
    <row r="90" spans="1:89" ht="15" customHeight="1">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312"/>
    </row>
    <row r="91" spans="1:89" ht="15" customHeight="1">
      <c r="B91" s="1"/>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312"/>
    </row>
    <row r="92" spans="1:89" s="1" customFormat="1" ht="15" customHeight="1">
      <c r="B92" s="173" t="s">
        <v>629</v>
      </c>
      <c r="C92" s="30"/>
      <c r="D92" s="30"/>
      <c r="E92" s="93"/>
      <c r="F92" s="63"/>
      <c r="G92" s="63">
        <v>2017</v>
      </c>
      <c r="H92" s="63">
        <v>2018</v>
      </c>
      <c r="I92" s="63">
        <v>2019</v>
      </c>
      <c r="J92" s="63">
        <v>2020</v>
      </c>
      <c r="K92" s="63">
        <v>2021</v>
      </c>
      <c r="L92" s="63">
        <v>2022</v>
      </c>
      <c r="M92" s="63">
        <v>2023</v>
      </c>
      <c r="N92" s="63">
        <v>2024</v>
      </c>
      <c r="O92" s="63">
        <v>2025</v>
      </c>
      <c r="P92" s="63">
        <v>2026</v>
      </c>
      <c r="Q92" s="63">
        <v>2027</v>
      </c>
      <c r="R92" s="63">
        <v>2028</v>
      </c>
      <c r="S92" s="63">
        <v>2029</v>
      </c>
      <c r="T92" s="63">
        <v>2030</v>
      </c>
      <c r="U92" s="63">
        <v>2031</v>
      </c>
      <c r="V92" s="63">
        <v>2032</v>
      </c>
      <c r="W92" s="63">
        <v>2033</v>
      </c>
      <c r="X92" s="63">
        <v>2034</v>
      </c>
      <c r="Y92" s="63">
        <v>2035</v>
      </c>
      <c r="Z92" s="63">
        <v>2036</v>
      </c>
      <c r="AA92" s="63">
        <v>2037</v>
      </c>
      <c r="AB92" s="63">
        <v>2038</v>
      </c>
      <c r="AC92" s="63">
        <v>2039</v>
      </c>
      <c r="AD92" s="63">
        <v>2040</v>
      </c>
      <c r="AE92" s="63">
        <v>2041</v>
      </c>
      <c r="AF92" s="63">
        <v>2042</v>
      </c>
      <c r="AG92" s="63">
        <v>2043</v>
      </c>
      <c r="AH92" s="63">
        <v>2044</v>
      </c>
      <c r="AI92" s="63">
        <v>2045</v>
      </c>
      <c r="AJ92" s="63">
        <v>2046</v>
      </c>
      <c r="AK92" s="63">
        <v>2047</v>
      </c>
      <c r="AL92" s="63">
        <v>2048</v>
      </c>
      <c r="AM92" s="63">
        <v>2049</v>
      </c>
      <c r="AN92" s="63">
        <v>2050</v>
      </c>
      <c r="AO92" s="63">
        <v>2051</v>
      </c>
      <c r="AP92" s="63">
        <v>2052</v>
      </c>
      <c r="AQ92" s="63">
        <v>2053</v>
      </c>
      <c r="AR92" s="63">
        <v>2054</v>
      </c>
      <c r="AS92" s="63">
        <v>2055</v>
      </c>
      <c r="AT92" s="63">
        <v>2056</v>
      </c>
      <c r="AU92" s="63">
        <v>2057</v>
      </c>
      <c r="AV92" s="63">
        <v>2058</v>
      </c>
      <c r="AW92" s="63">
        <v>2059</v>
      </c>
      <c r="AX92" s="63">
        <v>2060</v>
      </c>
      <c r="AY92" s="63">
        <v>2061</v>
      </c>
      <c r="AZ92" s="63">
        <v>2062</v>
      </c>
      <c r="BA92" s="63">
        <v>2063</v>
      </c>
      <c r="BB92" s="63">
        <v>2064</v>
      </c>
      <c r="BC92" s="569">
        <v>2065</v>
      </c>
      <c r="BD92" s="63">
        <v>2066</v>
      </c>
      <c r="BE92" s="63">
        <v>2067</v>
      </c>
      <c r="BF92" s="63">
        <v>2068</v>
      </c>
      <c r="BG92" s="63">
        <v>2069</v>
      </c>
      <c r="BH92" s="63">
        <v>2070</v>
      </c>
      <c r="BI92" s="63">
        <v>2071</v>
      </c>
      <c r="BJ92" s="63">
        <v>2072</v>
      </c>
      <c r="BK92" s="63">
        <v>2073</v>
      </c>
      <c r="BL92" s="63">
        <v>2074</v>
      </c>
      <c r="BM92" s="63">
        <v>2075</v>
      </c>
      <c r="BN92" s="63">
        <v>2076</v>
      </c>
      <c r="BO92" s="63">
        <v>2077</v>
      </c>
      <c r="BP92" s="63">
        <v>2078</v>
      </c>
      <c r="BQ92" s="63">
        <v>2079</v>
      </c>
      <c r="BR92" s="63">
        <v>2080</v>
      </c>
      <c r="BS92" s="63">
        <v>2081</v>
      </c>
      <c r="BT92" s="63">
        <v>2082</v>
      </c>
      <c r="BU92" s="63">
        <v>2083</v>
      </c>
      <c r="BV92" s="63">
        <v>2084</v>
      </c>
      <c r="BW92" s="63">
        <v>2085</v>
      </c>
      <c r="BX92" s="63">
        <v>2086</v>
      </c>
      <c r="BY92" s="63">
        <v>2087</v>
      </c>
      <c r="BZ92" s="63">
        <v>2088</v>
      </c>
      <c r="CA92" s="63">
        <v>2089</v>
      </c>
      <c r="CB92" s="63">
        <v>2090</v>
      </c>
      <c r="CC92" s="63">
        <v>2091</v>
      </c>
      <c r="CD92" s="63">
        <v>2092</v>
      </c>
      <c r="CE92" s="63">
        <v>2093</v>
      </c>
      <c r="CF92" s="63">
        <v>2094</v>
      </c>
      <c r="CG92" s="63">
        <v>2095</v>
      </c>
      <c r="CH92" s="63">
        <v>2096</v>
      </c>
      <c r="CI92" s="63">
        <v>2097</v>
      </c>
      <c r="CJ92" s="63">
        <v>2098</v>
      </c>
      <c r="CK92" s="63">
        <v>2099</v>
      </c>
    </row>
    <row r="93" spans="1:89" s="2" customFormat="1" ht="15" customHeight="1">
      <c r="B93" s="177"/>
      <c r="C93" s="178"/>
      <c r="D93" s="178" t="s">
        <v>4</v>
      </c>
      <c r="E93" s="179"/>
      <c r="F93" s="107"/>
      <c r="G93" s="107"/>
      <c r="H93" s="107"/>
      <c r="I93" s="107"/>
      <c r="J93" s="107"/>
      <c r="K93" s="107"/>
      <c r="L93" s="107"/>
      <c r="M93" s="107"/>
      <c r="N93" s="107"/>
      <c r="O93" s="107"/>
      <c r="P93" s="107"/>
      <c r="Q93" s="107"/>
      <c r="R93" s="107"/>
      <c r="S93" s="107"/>
      <c r="T93" s="107"/>
      <c r="U93" s="108"/>
      <c r="V93" s="107"/>
      <c r="W93" s="107"/>
      <c r="X93" s="107"/>
      <c r="Y93" s="109"/>
      <c r="Z93" s="107"/>
      <c r="AA93" s="107"/>
      <c r="AB93" s="107"/>
      <c r="AC93" s="107"/>
      <c r="AD93" s="107"/>
      <c r="AE93" s="108"/>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7"/>
      <c r="BC93" s="589"/>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c r="CJ93" s="107"/>
      <c r="CK93" s="107"/>
    </row>
    <row r="94" spans="1:89" s="2" customFormat="1" ht="15" customHeight="1">
      <c r="B94" s="132" t="s">
        <v>257</v>
      </c>
      <c r="C94" s="133"/>
      <c r="D94" s="88">
        <f>SUM(F94:CK94)</f>
        <v>2102.6213728675302</v>
      </c>
      <c r="E94" s="97"/>
      <c r="F94" s="103">
        <f t="shared" ref="F94:AK94" si="39">F37</f>
        <v>0</v>
      </c>
      <c r="G94" s="103">
        <f t="shared" si="39"/>
        <v>6.179073194094659E-3</v>
      </c>
      <c r="H94" s="103">
        <f t="shared" si="39"/>
        <v>0</v>
      </c>
      <c r="I94" s="103">
        <f t="shared" si="39"/>
        <v>0</v>
      </c>
      <c r="J94" s="103">
        <f t="shared" si="39"/>
        <v>0</v>
      </c>
      <c r="K94" s="103">
        <f t="shared" si="39"/>
        <v>0</v>
      </c>
      <c r="L94" s="103">
        <f t="shared" si="39"/>
        <v>0</v>
      </c>
      <c r="M94" s="103">
        <f t="shared" si="39"/>
        <v>0</v>
      </c>
      <c r="N94" s="103">
        <f t="shared" si="39"/>
        <v>0</v>
      </c>
      <c r="O94" s="103">
        <f t="shared" si="39"/>
        <v>0</v>
      </c>
      <c r="P94" s="103">
        <f t="shared" si="39"/>
        <v>0</v>
      </c>
      <c r="Q94" s="103">
        <f t="shared" si="39"/>
        <v>0</v>
      </c>
      <c r="R94" s="103">
        <f t="shared" si="39"/>
        <v>0</v>
      </c>
      <c r="S94" s="103">
        <f t="shared" si="39"/>
        <v>16.93458409389158</v>
      </c>
      <c r="T94" s="103">
        <f t="shared" si="39"/>
        <v>28.984485868387157</v>
      </c>
      <c r="U94" s="103">
        <f t="shared" si="39"/>
        <v>28.984485868387157</v>
      </c>
      <c r="V94" s="103">
        <f t="shared" si="39"/>
        <v>28.984485868387157</v>
      </c>
      <c r="W94" s="103">
        <f t="shared" si="39"/>
        <v>31.352421546779119</v>
      </c>
      <c r="X94" s="103">
        <f t="shared" si="39"/>
        <v>28.984485868387157</v>
      </c>
      <c r="Y94" s="103">
        <f t="shared" si="39"/>
        <v>28.984485868387157</v>
      </c>
      <c r="Z94" s="103">
        <f t="shared" si="39"/>
        <v>28.984485868387157</v>
      </c>
      <c r="AA94" s="103">
        <f t="shared" si="39"/>
        <v>40.60217029049771</v>
      </c>
      <c r="AB94" s="103">
        <f t="shared" si="39"/>
        <v>28.984485868387157</v>
      </c>
      <c r="AC94" s="103">
        <f t="shared" si="39"/>
        <v>28.984485868387157</v>
      </c>
      <c r="AD94" s="340">
        <f t="shared" si="39"/>
        <v>28.984485868387157</v>
      </c>
      <c r="AE94" s="103">
        <f t="shared" si="39"/>
        <v>31.352421546779119</v>
      </c>
      <c r="AF94" s="103">
        <f t="shared" si="39"/>
        <v>28.984485868387157</v>
      </c>
      <c r="AG94" s="103">
        <f t="shared" si="39"/>
        <v>28.984485868387157</v>
      </c>
      <c r="AH94" s="103">
        <f t="shared" si="39"/>
        <v>28.984485868387157</v>
      </c>
      <c r="AI94" s="103">
        <f t="shared" si="39"/>
        <v>31.352421546779119</v>
      </c>
      <c r="AJ94" s="103">
        <f t="shared" si="39"/>
        <v>28.984485868387157</v>
      </c>
      <c r="AK94" s="103">
        <f t="shared" si="39"/>
        <v>28.984485868387157</v>
      </c>
      <c r="AL94" s="103">
        <f t="shared" ref="AL94:BC94" si="40">AL37</f>
        <v>28.984485868387157</v>
      </c>
      <c r="AM94" s="103">
        <f t="shared" si="40"/>
        <v>31.352421546779119</v>
      </c>
      <c r="AN94" s="103">
        <f t="shared" si="40"/>
        <v>28.984485868387157</v>
      </c>
      <c r="AO94" s="103">
        <f t="shared" si="40"/>
        <v>28.984485868387157</v>
      </c>
      <c r="AP94" s="103">
        <f t="shared" si="40"/>
        <v>28.984485868387157</v>
      </c>
      <c r="AQ94" s="103">
        <f t="shared" si="40"/>
        <v>40.60217029049771</v>
      </c>
      <c r="AR94" s="103">
        <f t="shared" si="40"/>
        <v>28.984485868387157</v>
      </c>
      <c r="AS94" s="103">
        <f t="shared" si="40"/>
        <v>28.984485868387157</v>
      </c>
      <c r="AT94" s="103">
        <f t="shared" si="40"/>
        <v>28.984485868387157</v>
      </c>
      <c r="AU94" s="103">
        <f t="shared" si="40"/>
        <v>31.352421546779119</v>
      </c>
      <c r="AV94" s="103">
        <f t="shared" si="40"/>
        <v>28.984485868387157</v>
      </c>
      <c r="AW94" s="103">
        <f t="shared" si="40"/>
        <v>28.984485868387157</v>
      </c>
      <c r="AX94" s="103">
        <f t="shared" si="40"/>
        <v>28.984485868387157</v>
      </c>
      <c r="AY94" s="103">
        <f t="shared" si="40"/>
        <v>31.352421546779119</v>
      </c>
      <c r="AZ94" s="103">
        <f t="shared" si="40"/>
        <v>28.984485868387157</v>
      </c>
      <c r="BA94" s="103">
        <f t="shared" si="40"/>
        <v>28.984485868387157</v>
      </c>
      <c r="BB94" s="103">
        <f t="shared" si="40"/>
        <v>28.984485868387157</v>
      </c>
      <c r="BC94" s="555">
        <f t="shared" si="40"/>
        <v>31.57441551662836</v>
      </c>
      <c r="BD94" s="103">
        <f t="shared" ref="BD94:CK94" si="41">BD37</f>
        <v>28.984485868387157</v>
      </c>
      <c r="BE94" s="103">
        <f t="shared" si="41"/>
        <v>28.984485868387157</v>
      </c>
      <c r="BF94" s="103">
        <f t="shared" si="41"/>
        <v>28.984485868387157</v>
      </c>
      <c r="BG94" s="103">
        <f t="shared" si="41"/>
        <v>31.204425566879618</v>
      </c>
      <c r="BH94" s="103">
        <f t="shared" si="41"/>
        <v>28.984485868387157</v>
      </c>
      <c r="BI94" s="103">
        <f t="shared" si="41"/>
        <v>28.984485868387157</v>
      </c>
      <c r="BJ94" s="103">
        <f t="shared" si="41"/>
        <v>28.984485868387157</v>
      </c>
      <c r="BK94" s="103">
        <f t="shared" si="41"/>
        <v>38.234234612105745</v>
      </c>
      <c r="BL94" s="103">
        <f t="shared" si="41"/>
        <v>28.984485868387157</v>
      </c>
      <c r="BM94" s="103">
        <f t="shared" si="41"/>
        <v>28.984485868387157</v>
      </c>
      <c r="BN94" s="103">
        <f t="shared" si="41"/>
        <v>28.984485868387157</v>
      </c>
      <c r="BO94" s="103">
        <f t="shared" si="41"/>
        <v>31.204425566879618</v>
      </c>
      <c r="BP94" s="103">
        <f t="shared" si="41"/>
        <v>28.984485868387157</v>
      </c>
      <c r="BQ94" s="103">
        <f t="shared" si="41"/>
        <v>28.984485868387157</v>
      </c>
      <c r="BR94" s="103">
        <f t="shared" si="41"/>
        <v>28.984485868387157</v>
      </c>
      <c r="BS94" s="103">
        <f t="shared" si="41"/>
        <v>31.204425566879618</v>
      </c>
      <c r="BT94" s="103">
        <f t="shared" si="41"/>
        <v>28.984485868387157</v>
      </c>
      <c r="BU94" s="103">
        <f t="shared" si="41"/>
        <v>28.984485868387157</v>
      </c>
      <c r="BV94" s="103">
        <f t="shared" si="41"/>
        <v>28.984485868387157</v>
      </c>
      <c r="BW94" s="103">
        <f t="shared" si="41"/>
        <v>31.204425566879618</v>
      </c>
      <c r="BX94" s="103">
        <f t="shared" si="41"/>
        <v>28.984485868387157</v>
      </c>
      <c r="BY94" s="103">
        <f t="shared" si="41"/>
        <v>28.984485868387157</v>
      </c>
      <c r="BZ94" s="103">
        <f t="shared" si="41"/>
        <v>28.984485868387157</v>
      </c>
      <c r="CA94" s="103">
        <f t="shared" si="41"/>
        <v>31.204425566879618</v>
      </c>
      <c r="CB94" s="103">
        <f t="shared" si="41"/>
        <v>28.984485868387157</v>
      </c>
      <c r="CC94" s="103">
        <f t="shared" si="41"/>
        <v>28.984485868387157</v>
      </c>
      <c r="CD94" s="103">
        <f t="shared" si="41"/>
        <v>28.984485868387157</v>
      </c>
      <c r="CE94" s="103">
        <f t="shared" si="41"/>
        <v>37.864244662357009</v>
      </c>
      <c r="CF94" s="103">
        <f t="shared" si="41"/>
        <v>28.984485868387157</v>
      </c>
      <c r="CG94" s="103">
        <f t="shared" si="41"/>
        <v>28.984485868387157</v>
      </c>
      <c r="CH94" s="103">
        <f t="shared" si="41"/>
        <v>28.984485868387157</v>
      </c>
      <c r="CI94" s="103">
        <f t="shared" si="41"/>
        <v>31.204425566879618</v>
      </c>
      <c r="CJ94" s="103">
        <f t="shared" si="41"/>
        <v>28.835674905775079</v>
      </c>
      <c r="CK94" s="103">
        <f t="shared" si="41"/>
        <v>14.417837452887539</v>
      </c>
    </row>
    <row r="95" spans="1:89" ht="15" customHeight="1">
      <c r="B95" s="134" t="s">
        <v>52</v>
      </c>
      <c r="C95" s="135"/>
      <c r="D95" s="88">
        <f>SUM(F95:CK95)</f>
        <v>-1340.5999999999995</v>
      </c>
      <c r="E95" s="97"/>
      <c r="F95" s="103">
        <f>F89</f>
        <v>0</v>
      </c>
      <c r="G95" s="103">
        <f>G89</f>
        <v>0</v>
      </c>
      <c r="H95" s="103">
        <f>H89</f>
        <v>0</v>
      </c>
      <c r="I95" s="103">
        <f t="shared" ref="I95:O95" si="42">I89</f>
        <v>0</v>
      </c>
      <c r="J95" s="103">
        <f t="shared" si="42"/>
        <v>0</v>
      </c>
      <c r="K95" s="103">
        <f t="shared" si="42"/>
        <v>0</v>
      </c>
      <c r="L95" s="103">
        <f t="shared" si="42"/>
        <v>0</v>
      </c>
      <c r="M95" s="103">
        <f t="shared" si="42"/>
        <v>0</v>
      </c>
      <c r="N95" s="103">
        <f t="shared" si="42"/>
        <v>0</v>
      </c>
      <c r="O95" s="103">
        <f t="shared" si="42"/>
        <v>0</v>
      </c>
      <c r="P95" s="103">
        <f t="shared" ref="P95:AV95" si="43">-P89</f>
        <v>-1.4</v>
      </c>
      <c r="Q95" s="103">
        <f t="shared" si="43"/>
        <v>-1.4</v>
      </c>
      <c r="R95" s="103">
        <f t="shared" si="43"/>
        <v>-5.2</v>
      </c>
      <c r="S95" s="103">
        <f t="shared" si="43"/>
        <v>-22</v>
      </c>
      <c r="T95" s="103">
        <f t="shared" si="43"/>
        <v>-48.5</v>
      </c>
      <c r="U95" s="103">
        <f t="shared" si="43"/>
        <v>-31.5</v>
      </c>
      <c r="V95" s="103">
        <f t="shared" si="43"/>
        <v>-51.5</v>
      </c>
      <c r="W95" s="103">
        <f t="shared" si="43"/>
        <v>-34.799999999999997</v>
      </c>
      <c r="X95" s="103">
        <f t="shared" si="43"/>
        <v>-25.4</v>
      </c>
      <c r="Y95" s="103">
        <f t="shared" si="43"/>
        <v>-37.799999999999997</v>
      </c>
      <c r="Z95" s="103">
        <f t="shared" si="43"/>
        <v>-41.1</v>
      </c>
      <c r="AA95" s="103">
        <f t="shared" si="43"/>
        <v>-30.6</v>
      </c>
      <c r="AB95" s="103">
        <f t="shared" si="43"/>
        <v>-21.9</v>
      </c>
      <c r="AC95" s="103">
        <f t="shared" si="43"/>
        <v>-21.6</v>
      </c>
      <c r="AD95" s="103">
        <f t="shared" si="43"/>
        <v>-15.6</v>
      </c>
      <c r="AE95" s="103">
        <f t="shared" si="43"/>
        <v>-23.4</v>
      </c>
      <c r="AF95" s="103">
        <f t="shared" si="43"/>
        <v>-15.4</v>
      </c>
      <c r="AG95" s="103">
        <f t="shared" si="43"/>
        <v>-26.1</v>
      </c>
      <c r="AH95" s="103">
        <f t="shared" si="43"/>
        <v>-36.5</v>
      </c>
      <c r="AI95" s="103">
        <f t="shared" si="43"/>
        <v>-17.2</v>
      </c>
      <c r="AJ95" s="103">
        <f t="shared" si="43"/>
        <v>-9</v>
      </c>
      <c r="AK95" s="103">
        <f t="shared" si="43"/>
        <v>-22.7</v>
      </c>
      <c r="AL95" s="103">
        <f t="shared" si="43"/>
        <v>-17.3</v>
      </c>
      <c r="AM95" s="103">
        <f t="shared" si="43"/>
        <v>-14.1</v>
      </c>
      <c r="AN95" s="103">
        <f t="shared" si="43"/>
        <v>-28.1</v>
      </c>
      <c r="AO95" s="103">
        <f t="shared" si="43"/>
        <v>-9.1</v>
      </c>
      <c r="AP95" s="103">
        <f t="shared" si="43"/>
        <v>-45.6</v>
      </c>
      <c r="AQ95" s="103">
        <f t="shared" si="43"/>
        <v>-26.8</v>
      </c>
      <c r="AR95" s="103">
        <f t="shared" si="43"/>
        <v>-13.9</v>
      </c>
      <c r="AS95" s="103">
        <f t="shared" si="43"/>
        <v>-17.8</v>
      </c>
      <c r="AT95" s="103">
        <f t="shared" si="43"/>
        <v>-13.8</v>
      </c>
      <c r="AU95" s="103">
        <f t="shared" si="43"/>
        <v>-11.9</v>
      </c>
      <c r="AV95" s="103">
        <f t="shared" si="43"/>
        <v>-15.1</v>
      </c>
      <c r="AW95" s="103">
        <f>-AW89</f>
        <v>-10.8</v>
      </c>
      <c r="AX95" s="103">
        <f t="shared" ref="AX95:CK95" si="44">-AX89</f>
        <v>-12.7</v>
      </c>
      <c r="AY95" s="103">
        <f t="shared" si="44"/>
        <v>-32.1</v>
      </c>
      <c r="AZ95" s="103">
        <f t="shared" si="44"/>
        <v>-17.100000000000001</v>
      </c>
      <c r="BA95" s="103">
        <f t="shared" si="44"/>
        <v>-16.600000000000001</v>
      </c>
      <c r="BB95" s="103">
        <f t="shared" si="44"/>
        <v>-10.5</v>
      </c>
      <c r="BC95" s="555">
        <f t="shared" si="44"/>
        <v>-12.3</v>
      </c>
      <c r="BD95" s="103">
        <f t="shared" si="44"/>
        <v>-12.1</v>
      </c>
      <c r="BE95" s="103">
        <f t="shared" si="44"/>
        <v>-11.6</v>
      </c>
      <c r="BF95" s="103">
        <f t="shared" si="44"/>
        <v>-17</v>
      </c>
      <c r="BG95" s="103">
        <f t="shared" si="44"/>
        <v>-14</v>
      </c>
      <c r="BH95" s="103">
        <f t="shared" si="44"/>
        <v>-13.7</v>
      </c>
      <c r="BI95" s="103">
        <f t="shared" si="44"/>
        <v>-12</v>
      </c>
      <c r="BJ95" s="103">
        <f t="shared" si="44"/>
        <v>-11.4</v>
      </c>
      <c r="BK95" s="103">
        <f t="shared" si="44"/>
        <v>-13.2</v>
      </c>
      <c r="BL95" s="103">
        <f t="shared" si="44"/>
        <v>-8.9</v>
      </c>
      <c r="BM95" s="103">
        <f t="shared" si="44"/>
        <v>-17.7</v>
      </c>
      <c r="BN95" s="103">
        <f t="shared" si="44"/>
        <v>-19.399999999999999</v>
      </c>
      <c r="BO95" s="103">
        <f t="shared" si="44"/>
        <v>-11.6</v>
      </c>
      <c r="BP95" s="103">
        <f t="shared" si="44"/>
        <v>-8</v>
      </c>
      <c r="BQ95" s="103">
        <f t="shared" si="44"/>
        <v>-33.5</v>
      </c>
      <c r="BR95" s="103">
        <f t="shared" si="44"/>
        <v>-12.5</v>
      </c>
      <c r="BS95" s="103">
        <f t="shared" si="44"/>
        <v>-17.3</v>
      </c>
      <c r="BT95" s="103">
        <f t="shared" si="44"/>
        <v>-16.100000000000001</v>
      </c>
      <c r="BU95" s="103">
        <f t="shared" si="44"/>
        <v>-29.6</v>
      </c>
      <c r="BV95" s="103">
        <f t="shared" si="44"/>
        <v>-23.7</v>
      </c>
      <c r="BW95" s="103">
        <f t="shared" si="44"/>
        <v>-13.5</v>
      </c>
      <c r="BX95" s="103">
        <f t="shared" si="44"/>
        <v>-8.6999999999999993</v>
      </c>
      <c r="BY95" s="103">
        <f t="shared" si="44"/>
        <v>-12.1</v>
      </c>
      <c r="BZ95" s="103">
        <f t="shared" si="44"/>
        <v>-14.1</v>
      </c>
      <c r="CA95" s="103">
        <f t="shared" si="44"/>
        <v>-19.2</v>
      </c>
      <c r="CB95" s="103">
        <f t="shared" si="44"/>
        <v>-12.6</v>
      </c>
      <c r="CC95" s="103">
        <f t="shared" si="44"/>
        <v>-11.6</v>
      </c>
      <c r="CD95" s="103">
        <f t="shared" si="44"/>
        <v>-8.3000000000000007</v>
      </c>
      <c r="CE95" s="103">
        <f t="shared" si="44"/>
        <v>-13.1</v>
      </c>
      <c r="CF95" s="103">
        <f t="shared" si="44"/>
        <v>-11</v>
      </c>
      <c r="CG95" s="103">
        <f t="shared" si="44"/>
        <v>-15.8</v>
      </c>
      <c r="CH95" s="103">
        <f t="shared" si="44"/>
        <v>-13.1</v>
      </c>
      <c r="CI95" s="103">
        <f t="shared" si="44"/>
        <v>-8.3000000000000007</v>
      </c>
      <c r="CJ95" s="103">
        <f t="shared" si="44"/>
        <v>-4.5</v>
      </c>
      <c r="CK95" s="103">
        <f t="shared" si="44"/>
        <v>-5.2</v>
      </c>
    </row>
    <row r="96" spans="1:89" s="442" customFormat="1" ht="15" customHeight="1">
      <c r="B96" s="635" t="s">
        <v>119</v>
      </c>
      <c r="C96" s="636"/>
      <c r="D96" s="637">
        <f>SUM(F96:CK96)</f>
        <v>762.01519379433807</v>
      </c>
      <c r="E96" s="97"/>
      <c r="F96" s="340">
        <f>F94-F95</f>
        <v>0</v>
      </c>
      <c r="G96" s="340"/>
      <c r="H96" s="340">
        <f t="shared" ref="H96:O96" si="45">H94-H95</f>
        <v>0</v>
      </c>
      <c r="I96" s="340">
        <f t="shared" si="45"/>
        <v>0</v>
      </c>
      <c r="J96" s="340">
        <f t="shared" si="45"/>
        <v>0</v>
      </c>
      <c r="K96" s="340">
        <f t="shared" si="45"/>
        <v>0</v>
      </c>
      <c r="L96" s="340">
        <f t="shared" si="45"/>
        <v>0</v>
      </c>
      <c r="M96" s="340">
        <f t="shared" si="45"/>
        <v>0</v>
      </c>
      <c r="N96" s="340">
        <f t="shared" si="45"/>
        <v>0</v>
      </c>
      <c r="O96" s="340">
        <f t="shared" si="45"/>
        <v>0</v>
      </c>
      <c r="P96" s="340">
        <f t="shared" ref="P96:AV96" si="46">P95+P94</f>
        <v>-1.4</v>
      </c>
      <c r="Q96" s="340">
        <f t="shared" si="46"/>
        <v>-1.4</v>
      </c>
      <c r="R96" s="340">
        <f t="shared" si="46"/>
        <v>-5.2</v>
      </c>
      <c r="S96" s="340">
        <f t="shared" si="46"/>
        <v>-5.0654159061084201</v>
      </c>
      <c r="T96" s="340">
        <f t="shared" si="46"/>
        <v>-19.515514131612843</v>
      </c>
      <c r="U96" s="340">
        <f t="shared" si="46"/>
        <v>-2.5155141316128429</v>
      </c>
      <c r="V96" s="340">
        <f t="shared" si="46"/>
        <v>-22.515514131612843</v>
      </c>
      <c r="W96" s="340">
        <f t="shared" si="46"/>
        <v>-3.4475784532208777</v>
      </c>
      <c r="X96" s="340">
        <f t="shared" si="46"/>
        <v>3.5844858683871585</v>
      </c>
      <c r="Y96" s="340">
        <f t="shared" si="46"/>
        <v>-8.81551413161284</v>
      </c>
      <c r="Z96" s="340">
        <f t="shared" si="46"/>
        <v>-12.115514131612844</v>
      </c>
      <c r="AA96" s="340">
        <f t="shared" si="46"/>
        <v>10.002170290497709</v>
      </c>
      <c r="AB96" s="340">
        <f t="shared" si="46"/>
        <v>7.0844858683871585</v>
      </c>
      <c r="AC96" s="340">
        <f t="shared" si="46"/>
        <v>7.3844858683871557</v>
      </c>
      <c r="AD96" s="340">
        <f t="shared" si="46"/>
        <v>13.384485868387157</v>
      </c>
      <c r="AE96" s="340">
        <f t="shared" si="46"/>
        <v>7.9524215467791208</v>
      </c>
      <c r="AF96" s="340">
        <f t="shared" si="46"/>
        <v>13.584485868387157</v>
      </c>
      <c r="AG96" s="340">
        <f t="shared" si="46"/>
        <v>2.8844858683871557</v>
      </c>
      <c r="AH96" s="340">
        <f t="shared" si="46"/>
        <v>-7.5155141316128429</v>
      </c>
      <c r="AI96" s="340">
        <f t="shared" si="46"/>
        <v>14.15242154677912</v>
      </c>
      <c r="AJ96" s="340">
        <f t="shared" si="46"/>
        <v>19.984485868387157</v>
      </c>
      <c r="AK96" s="340">
        <f t="shared" si="46"/>
        <v>6.2844858683871578</v>
      </c>
      <c r="AL96" s="340">
        <f t="shared" si="46"/>
        <v>11.684485868387156</v>
      </c>
      <c r="AM96" s="340">
        <f t="shared" si="46"/>
        <v>17.252421546779118</v>
      </c>
      <c r="AN96" s="340">
        <f t="shared" si="46"/>
        <v>0.8844858683871557</v>
      </c>
      <c r="AO96" s="340">
        <f t="shared" si="46"/>
        <v>19.884485868387159</v>
      </c>
      <c r="AP96" s="340">
        <f t="shared" si="46"/>
        <v>-16.615514131612844</v>
      </c>
      <c r="AQ96" s="340">
        <f t="shared" si="46"/>
        <v>13.80217029049771</v>
      </c>
      <c r="AR96" s="340">
        <f t="shared" si="46"/>
        <v>15.084485868387157</v>
      </c>
      <c r="AS96" s="340">
        <f t="shared" si="46"/>
        <v>11.184485868387156</v>
      </c>
      <c r="AT96" s="340">
        <f t="shared" si="46"/>
        <v>15.184485868387156</v>
      </c>
      <c r="AU96" s="340">
        <f t="shared" si="46"/>
        <v>19.452421546779121</v>
      </c>
      <c r="AV96" s="340">
        <f t="shared" si="46"/>
        <v>13.884485868387157</v>
      </c>
      <c r="AW96" s="340">
        <f>AW95+AW94</f>
        <v>18.184485868387156</v>
      </c>
      <c r="AX96" s="340">
        <f t="shared" ref="AX96:CK96" si="47">AX95+AX94</f>
        <v>16.284485868387158</v>
      </c>
      <c r="AY96" s="340">
        <f t="shared" si="47"/>
        <v>-0.74757845322088201</v>
      </c>
      <c r="AZ96" s="340">
        <f t="shared" si="47"/>
        <v>11.884485868387156</v>
      </c>
      <c r="BA96" s="340">
        <f t="shared" si="47"/>
        <v>12.384485868387156</v>
      </c>
      <c r="BB96" s="340">
        <f t="shared" si="47"/>
        <v>18.484485868387157</v>
      </c>
      <c r="BC96" s="340">
        <f t="shared" si="47"/>
        <v>19.274415516628359</v>
      </c>
      <c r="BD96" s="340">
        <f t="shared" si="47"/>
        <v>16.884485868387159</v>
      </c>
      <c r="BE96" s="340">
        <f t="shared" si="47"/>
        <v>17.384485868387159</v>
      </c>
      <c r="BF96" s="340">
        <f t="shared" si="47"/>
        <v>11.984485868387157</v>
      </c>
      <c r="BG96" s="340">
        <f t="shared" si="47"/>
        <v>17.204425566879618</v>
      </c>
      <c r="BH96" s="340">
        <f t="shared" si="47"/>
        <v>15.284485868387158</v>
      </c>
      <c r="BI96" s="340">
        <f t="shared" si="47"/>
        <v>16.984485868387157</v>
      </c>
      <c r="BJ96" s="340">
        <f t="shared" si="47"/>
        <v>17.584485868387155</v>
      </c>
      <c r="BK96" s="340">
        <f t="shared" si="47"/>
        <v>25.034234612105745</v>
      </c>
      <c r="BL96" s="340">
        <f t="shared" si="47"/>
        <v>20.084485868387155</v>
      </c>
      <c r="BM96" s="340">
        <f t="shared" si="47"/>
        <v>11.284485868387158</v>
      </c>
      <c r="BN96" s="340">
        <f t="shared" si="47"/>
        <v>9.5844858683871585</v>
      </c>
      <c r="BO96" s="340">
        <f t="shared" si="47"/>
        <v>19.60442556687962</v>
      </c>
      <c r="BP96" s="340">
        <f t="shared" si="47"/>
        <v>20.984485868387157</v>
      </c>
      <c r="BQ96" s="340">
        <f t="shared" si="47"/>
        <v>-4.5155141316128429</v>
      </c>
      <c r="BR96" s="340">
        <f t="shared" si="47"/>
        <v>16.484485868387157</v>
      </c>
      <c r="BS96" s="340">
        <f t="shared" si="47"/>
        <v>13.904425566879617</v>
      </c>
      <c r="BT96" s="340">
        <f t="shared" si="47"/>
        <v>12.884485868387156</v>
      </c>
      <c r="BU96" s="340">
        <f t="shared" si="47"/>
        <v>-0.6155141316128443</v>
      </c>
      <c r="BV96" s="340">
        <f t="shared" si="47"/>
        <v>5.2844858683871578</v>
      </c>
      <c r="BW96" s="340">
        <f t="shared" si="47"/>
        <v>17.704425566879618</v>
      </c>
      <c r="BX96" s="340">
        <f t="shared" si="47"/>
        <v>20.284485868387158</v>
      </c>
      <c r="BY96" s="340">
        <f t="shared" si="47"/>
        <v>16.884485868387159</v>
      </c>
      <c r="BZ96" s="340">
        <f t="shared" si="47"/>
        <v>14.884485868387157</v>
      </c>
      <c r="CA96" s="340">
        <f t="shared" si="47"/>
        <v>12.004425566879618</v>
      </c>
      <c r="CB96" s="340">
        <f t="shared" si="47"/>
        <v>16.384485868387159</v>
      </c>
      <c r="CC96" s="340">
        <f t="shared" si="47"/>
        <v>17.384485868387159</v>
      </c>
      <c r="CD96" s="340">
        <f t="shared" si="47"/>
        <v>20.684485868387156</v>
      </c>
      <c r="CE96" s="340">
        <f t="shared" si="47"/>
        <v>24.764244662357008</v>
      </c>
      <c r="CF96" s="340">
        <f t="shared" si="47"/>
        <v>17.984485868387157</v>
      </c>
      <c r="CG96" s="340">
        <f t="shared" si="47"/>
        <v>13.184485868387156</v>
      </c>
      <c r="CH96" s="340">
        <f t="shared" si="47"/>
        <v>15.884485868387157</v>
      </c>
      <c r="CI96" s="340">
        <f t="shared" si="47"/>
        <v>22.904425566879617</v>
      </c>
      <c r="CJ96" s="340">
        <f t="shared" si="47"/>
        <v>24.335674905775079</v>
      </c>
      <c r="CK96" s="340">
        <f t="shared" si="47"/>
        <v>9.2178374528875402</v>
      </c>
    </row>
    <row r="97" spans="2:89" ht="15" customHeight="1">
      <c r="B97" s="134" t="s">
        <v>120</v>
      </c>
      <c r="C97" s="138"/>
      <c r="D97" s="139"/>
      <c r="E97" s="97"/>
      <c r="F97" s="103">
        <f>F96</f>
        <v>0</v>
      </c>
      <c r="G97" s="103">
        <f t="shared" ref="G97:AL97" si="48">G96+F97</f>
        <v>0</v>
      </c>
      <c r="H97" s="103">
        <f t="shared" si="48"/>
        <v>0</v>
      </c>
      <c r="I97" s="103">
        <f t="shared" si="48"/>
        <v>0</v>
      </c>
      <c r="J97" s="103">
        <f t="shared" si="48"/>
        <v>0</v>
      </c>
      <c r="K97" s="103">
        <f t="shared" si="48"/>
        <v>0</v>
      </c>
      <c r="L97" s="103">
        <f t="shared" si="48"/>
        <v>0</v>
      </c>
      <c r="M97" s="103">
        <f t="shared" si="48"/>
        <v>0</v>
      </c>
      <c r="N97" s="103">
        <f t="shared" si="48"/>
        <v>0</v>
      </c>
      <c r="O97" s="103">
        <f t="shared" si="48"/>
        <v>0</v>
      </c>
      <c r="P97" s="103">
        <f t="shared" si="48"/>
        <v>-1.4</v>
      </c>
      <c r="Q97" s="103">
        <f t="shared" si="48"/>
        <v>-2.8</v>
      </c>
      <c r="R97" s="103">
        <f t="shared" si="48"/>
        <v>-8</v>
      </c>
      <c r="S97" s="103">
        <f t="shared" si="48"/>
        <v>-13.06541590610842</v>
      </c>
      <c r="T97" s="103">
        <f t="shared" si="48"/>
        <v>-32.580930037721259</v>
      </c>
      <c r="U97" s="103">
        <f t="shared" si="48"/>
        <v>-35.096444169334106</v>
      </c>
      <c r="V97" s="103">
        <f t="shared" si="48"/>
        <v>-57.611958300946952</v>
      </c>
      <c r="W97" s="103">
        <f t="shared" si="48"/>
        <v>-61.05953675416783</v>
      </c>
      <c r="X97" s="103">
        <f t="shared" si="48"/>
        <v>-57.475050885780675</v>
      </c>
      <c r="Y97" s="103">
        <f t="shared" si="48"/>
        <v>-66.290565017393519</v>
      </c>
      <c r="Z97" s="103">
        <f t="shared" si="48"/>
        <v>-78.406079149006359</v>
      </c>
      <c r="AA97" s="103">
        <f t="shared" si="48"/>
        <v>-68.403908858508657</v>
      </c>
      <c r="AB97" s="103">
        <f t="shared" si="48"/>
        <v>-61.319422990121495</v>
      </c>
      <c r="AC97" s="103">
        <f t="shared" si="48"/>
        <v>-53.934937121734336</v>
      </c>
      <c r="AD97" s="340">
        <f t="shared" si="48"/>
        <v>-40.550451253347177</v>
      </c>
      <c r="AE97" s="103">
        <f t="shared" si="48"/>
        <v>-32.598029706568056</v>
      </c>
      <c r="AF97" s="103">
        <f t="shared" si="48"/>
        <v>-19.013543838180901</v>
      </c>
      <c r="AG97" s="103">
        <f t="shared" si="48"/>
        <v>-16.129057969793745</v>
      </c>
      <c r="AH97" s="103">
        <f t="shared" si="48"/>
        <v>-23.644572101406588</v>
      </c>
      <c r="AI97" s="103">
        <f t="shared" si="48"/>
        <v>-9.492150554627468</v>
      </c>
      <c r="AJ97" s="103">
        <f t="shared" si="48"/>
        <v>10.492335313759689</v>
      </c>
      <c r="AK97" s="103">
        <f t="shared" si="48"/>
        <v>16.776821182146847</v>
      </c>
      <c r="AL97" s="103">
        <f t="shared" si="48"/>
        <v>28.461307050534003</v>
      </c>
      <c r="AM97" s="103">
        <f t="shared" ref="AM97:BR97" si="49">AM96+AL97</f>
        <v>45.713728597313121</v>
      </c>
      <c r="AN97" s="103">
        <f t="shared" si="49"/>
        <v>46.598214465700281</v>
      </c>
      <c r="AO97" s="103">
        <f t="shared" si="49"/>
        <v>66.48270033408744</v>
      </c>
      <c r="AP97" s="103">
        <f t="shared" si="49"/>
        <v>49.867186202474599</v>
      </c>
      <c r="AQ97" s="103">
        <f t="shared" si="49"/>
        <v>63.669356492972312</v>
      </c>
      <c r="AR97" s="103">
        <f t="shared" si="49"/>
        <v>78.753842361359474</v>
      </c>
      <c r="AS97" s="103">
        <f t="shared" si="49"/>
        <v>89.938328229746631</v>
      </c>
      <c r="AT97" s="103">
        <f t="shared" si="49"/>
        <v>105.12281409813379</v>
      </c>
      <c r="AU97" s="103">
        <f t="shared" si="49"/>
        <v>124.57523564491291</v>
      </c>
      <c r="AV97" s="103">
        <f t="shared" si="49"/>
        <v>138.45972151330005</v>
      </c>
      <c r="AW97" s="103">
        <f t="shared" si="49"/>
        <v>156.64420738168721</v>
      </c>
      <c r="AX97" s="103">
        <f t="shared" si="49"/>
        <v>172.92869325007436</v>
      </c>
      <c r="AY97" s="103">
        <f t="shared" si="49"/>
        <v>172.18111479685348</v>
      </c>
      <c r="AZ97" s="103">
        <f t="shared" si="49"/>
        <v>184.06560066524062</v>
      </c>
      <c r="BA97" s="103">
        <f t="shared" si="49"/>
        <v>196.45008653362777</v>
      </c>
      <c r="BB97" s="103">
        <f t="shared" si="49"/>
        <v>214.93457240201494</v>
      </c>
      <c r="BC97" s="555">
        <f t="shared" si="49"/>
        <v>234.20898791864329</v>
      </c>
      <c r="BD97" s="103">
        <f t="shared" si="49"/>
        <v>251.09347378703046</v>
      </c>
      <c r="BE97" s="103">
        <f t="shared" si="49"/>
        <v>268.47795965541764</v>
      </c>
      <c r="BF97" s="103">
        <f t="shared" si="49"/>
        <v>280.46244552380477</v>
      </c>
      <c r="BG97" s="103">
        <f t="shared" si="49"/>
        <v>297.66687109068437</v>
      </c>
      <c r="BH97" s="103">
        <f t="shared" si="49"/>
        <v>312.95135695907152</v>
      </c>
      <c r="BI97" s="103">
        <f t="shared" si="49"/>
        <v>329.93584282745866</v>
      </c>
      <c r="BJ97" s="103">
        <f t="shared" si="49"/>
        <v>347.52032869584582</v>
      </c>
      <c r="BK97" s="103">
        <f t="shared" si="49"/>
        <v>372.55456330795158</v>
      </c>
      <c r="BL97" s="103">
        <f t="shared" si="49"/>
        <v>392.63904917633874</v>
      </c>
      <c r="BM97" s="103">
        <f t="shared" si="49"/>
        <v>403.9235350447259</v>
      </c>
      <c r="BN97" s="103">
        <f t="shared" si="49"/>
        <v>413.50802091311306</v>
      </c>
      <c r="BO97" s="103">
        <f t="shared" si="49"/>
        <v>433.11244647999268</v>
      </c>
      <c r="BP97" s="103">
        <f t="shared" si="49"/>
        <v>454.09693234837982</v>
      </c>
      <c r="BQ97" s="103">
        <f t="shared" si="49"/>
        <v>449.58141821676696</v>
      </c>
      <c r="BR97" s="103">
        <f t="shared" si="49"/>
        <v>466.0659040851541</v>
      </c>
      <c r="BS97" s="103">
        <f t="shared" ref="BS97:CK97" si="50">BS96+BR97</f>
        <v>479.97032965203374</v>
      </c>
      <c r="BT97" s="103">
        <f t="shared" si="50"/>
        <v>492.85481552042091</v>
      </c>
      <c r="BU97" s="103">
        <f t="shared" si="50"/>
        <v>492.23930138880809</v>
      </c>
      <c r="BV97" s="103">
        <f t="shared" si="50"/>
        <v>497.52378725719524</v>
      </c>
      <c r="BW97" s="103">
        <f t="shared" si="50"/>
        <v>515.22821282407483</v>
      </c>
      <c r="BX97" s="103">
        <f t="shared" si="50"/>
        <v>535.51269869246198</v>
      </c>
      <c r="BY97" s="103">
        <f t="shared" si="50"/>
        <v>552.39718456084915</v>
      </c>
      <c r="BZ97" s="103">
        <f t="shared" si="50"/>
        <v>567.28167042923633</v>
      </c>
      <c r="CA97" s="103">
        <f t="shared" si="50"/>
        <v>579.28609599611593</v>
      </c>
      <c r="CB97" s="103">
        <f t="shared" si="50"/>
        <v>595.67058186450311</v>
      </c>
      <c r="CC97" s="103">
        <f t="shared" si="50"/>
        <v>613.05506773289028</v>
      </c>
      <c r="CD97" s="103">
        <f t="shared" si="50"/>
        <v>633.73955360127741</v>
      </c>
      <c r="CE97" s="103">
        <f t="shared" si="50"/>
        <v>658.50379826363439</v>
      </c>
      <c r="CF97" s="103">
        <f t="shared" si="50"/>
        <v>676.48828413202159</v>
      </c>
      <c r="CG97" s="103">
        <f t="shared" si="50"/>
        <v>689.67277000040872</v>
      </c>
      <c r="CH97" s="103">
        <f t="shared" si="50"/>
        <v>705.55725586879589</v>
      </c>
      <c r="CI97" s="103">
        <f t="shared" si="50"/>
        <v>728.46168143567547</v>
      </c>
      <c r="CJ97" s="103">
        <f t="shared" si="50"/>
        <v>752.7973563414505</v>
      </c>
      <c r="CK97" s="103">
        <f t="shared" si="50"/>
        <v>762.01519379433807</v>
      </c>
    </row>
    <row r="98" spans="2:89" ht="15" customHeight="1">
      <c r="P98" s="41">
        <v>-1.4</v>
      </c>
      <c r="Q98" s="41">
        <v>-1.4</v>
      </c>
      <c r="R98" s="41">
        <v>-5.2</v>
      </c>
      <c r="S98" s="41">
        <v>-5.0999999999999996</v>
      </c>
      <c r="T98" s="41">
        <v>-19.5</v>
      </c>
      <c r="U98" s="41">
        <v>-2.5</v>
      </c>
      <c r="V98" s="41">
        <f>-22.5</f>
        <v>-22.5</v>
      </c>
      <c r="W98" s="41">
        <v>-3.5</v>
      </c>
      <c r="X98" s="41">
        <v>3.6</v>
      </c>
      <c r="Y98" s="41">
        <v>-8.8000000000000007</v>
      </c>
      <c r="Z98" s="41">
        <v>-12.1</v>
      </c>
      <c r="AA98" s="41">
        <v>10.1</v>
      </c>
      <c r="AB98" s="41">
        <v>7.1</v>
      </c>
      <c r="AC98" s="41">
        <v>7.4</v>
      </c>
      <c r="AD98" s="41">
        <v>13.4</v>
      </c>
      <c r="AE98" s="41">
        <v>7.9</v>
      </c>
      <c r="AF98" s="41">
        <v>14.5</v>
      </c>
      <c r="AG98" s="41">
        <v>2.9</v>
      </c>
      <c r="AH98" s="41">
        <v>-7.5</v>
      </c>
      <c r="AI98" s="41">
        <v>14.1</v>
      </c>
      <c r="AJ98" s="41">
        <v>19.899999999999999</v>
      </c>
      <c r="AK98" s="41">
        <v>6.3</v>
      </c>
      <c r="AL98" s="41">
        <v>11.7</v>
      </c>
      <c r="AM98" s="41">
        <v>17.2</v>
      </c>
      <c r="AN98" s="41">
        <v>0.9</v>
      </c>
      <c r="AO98" s="41">
        <v>19.899999999999999</v>
      </c>
      <c r="AP98" s="41">
        <v>-16.600000000000001</v>
      </c>
      <c r="AQ98" s="41">
        <v>13.9</v>
      </c>
      <c r="AR98" s="41">
        <v>15.1</v>
      </c>
      <c r="AS98" s="41">
        <v>11.1</v>
      </c>
      <c r="AT98" s="41">
        <v>15.2</v>
      </c>
      <c r="AU98" s="41">
        <v>19.399999999999999</v>
      </c>
      <c r="AV98" s="41">
        <v>13.9</v>
      </c>
      <c r="AW98" s="41">
        <v>18.2</v>
      </c>
      <c r="AX98" s="41">
        <v>16.2</v>
      </c>
      <c r="AY98" s="41">
        <v>-0.8</v>
      </c>
      <c r="AZ98" s="41">
        <v>11.8</v>
      </c>
      <c r="BA98" s="41">
        <v>12.4</v>
      </c>
      <c r="BB98" s="41">
        <v>18.5</v>
      </c>
      <c r="BC98" s="313">
        <v>19</v>
      </c>
    </row>
    <row r="99" spans="2:89" ht="15" hidden="1" customHeight="1">
      <c r="F99" s="533" t="s">
        <v>265</v>
      </c>
      <c r="G99" s="534"/>
      <c r="H99" s="535"/>
      <c r="I99" s="534"/>
      <c r="J99" s="536"/>
      <c r="K99" s="537">
        <f>IFERROR((IRR(G96:CK96)),0)</f>
        <v>8.6969930231887149E-2</v>
      </c>
      <c r="L99" s="538"/>
      <c r="M99" s="533" t="s">
        <v>266</v>
      </c>
      <c r="N99" s="534"/>
      <c r="O99" s="535"/>
      <c r="P99" s="534"/>
      <c r="Q99" s="536"/>
      <c r="R99" s="539">
        <f ca="1">IFERROR((MIRR(INDIRECT(ADDRESS(93,MATCH(1,F184:BC184,0)+5)):OFFSET(G96,0,MATCH(BC97,G97:BC97,0)-1),R100,R101)),0)</f>
        <v>0</v>
      </c>
      <c r="S99" s="539"/>
    </row>
    <row r="100" spans="2:89" ht="15" hidden="1" customHeight="1">
      <c r="F100" s="540" t="s">
        <v>267</v>
      </c>
      <c r="G100" s="541"/>
      <c r="H100" s="534"/>
      <c r="I100" s="534"/>
      <c r="J100" s="536"/>
      <c r="K100" s="542">
        <f>NPV(K101,G96:BC96)</f>
        <v>77.631170919892725</v>
      </c>
      <c r="L100" s="538"/>
      <c r="M100" s="543" t="s">
        <v>263</v>
      </c>
      <c r="N100" s="534"/>
      <c r="O100" s="534"/>
      <c r="P100" s="534"/>
      <c r="Q100" s="536"/>
      <c r="R100" s="544">
        <f>'2.  Scheme Wide'!E39</f>
        <v>0.06</v>
      </c>
      <c r="S100" s="544"/>
    </row>
    <row r="101" spans="2:89" ht="15" hidden="1" customHeight="1">
      <c r="F101" s="545" t="s">
        <v>63</v>
      </c>
      <c r="G101" s="534"/>
      <c r="H101" s="546"/>
      <c r="I101" s="536"/>
      <c r="J101" s="536"/>
      <c r="K101" s="547">
        <f>'2.  Scheme Wide'!E36</f>
        <v>2.5000000000000001E-2</v>
      </c>
      <c r="L101" s="538"/>
      <c r="M101" s="543" t="s">
        <v>264</v>
      </c>
      <c r="N101" s="534"/>
      <c r="O101" s="534"/>
      <c r="P101" s="534"/>
      <c r="Q101" s="536"/>
      <c r="R101" s="544">
        <f>'2.  Scheme Wide'!E40</f>
        <v>0.06</v>
      </c>
      <c r="S101" s="544"/>
    </row>
    <row r="102" spans="2:89" ht="15" customHeight="1">
      <c r="C102" s="41"/>
      <c r="D102" s="41"/>
      <c r="E102" s="41"/>
      <c r="P102" s="41">
        <f>P98-P96</f>
        <v>0</v>
      </c>
      <c r="Q102" s="41">
        <f t="shared" ref="Q102:W102" si="51">Q98-Q96</f>
        <v>0</v>
      </c>
      <c r="R102" s="574">
        <f t="shared" si="51"/>
        <v>0</v>
      </c>
      <c r="S102" s="574">
        <f t="shared" si="51"/>
        <v>-3.458409389157957E-2</v>
      </c>
      <c r="T102" s="574">
        <f t="shared" si="51"/>
        <v>1.5514131612842874E-2</v>
      </c>
      <c r="U102" s="574">
        <f t="shared" si="51"/>
        <v>1.5514131612842874E-2</v>
      </c>
      <c r="V102" s="574">
        <f t="shared" si="51"/>
        <v>1.5514131612842874E-2</v>
      </c>
      <c r="W102" s="574">
        <f t="shared" si="51"/>
        <v>-5.2421546779122252E-2</v>
      </c>
    </row>
    <row r="103" spans="2:89" ht="15" customHeight="1">
      <c r="B103" s="173" t="s">
        <v>624</v>
      </c>
      <c r="C103" s="30"/>
      <c r="D103" s="30"/>
      <c r="F103" s="548"/>
      <c r="G103" s="549"/>
      <c r="H103" s="550"/>
      <c r="I103" s="549"/>
      <c r="J103" s="549"/>
      <c r="K103" s="551"/>
      <c r="L103" s="538"/>
      <c r="M103" s="548"/>
      <c r="N103" s="549"/>
      <c r="O103" s="549"/>
      <c r="P103" s="549"/>
      <c r="Q103" s="549"/>
      <c r="R103" s="552"/>
      <c r="S103" s="552"/>
    </row>
    <row r="104" spans="2:89" ht="15" customHeight="1">
      <c r="B104" s="177"/>
      <c r="C104" s="178"/>
      <c r="D104" s="178"/>
      <c r="F104" s="548"/>
      <c r="G104" s="549"/>
      <c r="H104" s="550"/>
      <c r="I104" s="549"/>
      <c r="J104" s="549"/>
      <c r="K104" s="551"/>
      <c r="L104" s="538"/>
      <c r="M104" s="548"/>
      <c r="N104" s="549"/>
      <c r="O104" s="549"/>
      <c r="P104" s="549"/>
      <c r="Q104" s="549"/>
      <c r="R104" s="552"/>
      <c r="S104" s="552"/>
    </row>
    <row r="105" spans="2:89" ht="15" customHeight="1">
      <c r="B105" s="132"/>
      <c r="C105" s="133"/>
      <c r="D105" s="88"/>
      <c r="F105" s="548"/>
      <c r="G105" s="549"/>
      <c r="H105" s="550"/>
      <c r="I105" s="549"/>
      <c r="J105" s="549"/>
      <c r="K105" s="551"/>
      <c r="L105" s="538"/>
      <c r="M105" s="548"/>
      <c r="N105" s="549"/>
      <c r="O105" s="549"/>
      <c r="P105" s="549"/>
      <c r="Q105" s="549"/>
      <c r="R105" s="552"/>
      <c r="S105" s="552"/>
    </row>
    <row r="106" spans="2:89" ht="15" customHeight="1">
      <c r="B106" s="134" t="s">
        <v>625</v>
      </c>
      <c r="C106" s="135"/>
      <c r="D106" s="103">
        <f>'1. Landuse'!C6</f>
        <v>1170</v>
      </c>
      <c r="F106" s="553">
        <f>SUM(G106:CK106)-D106</f>
        <v>6.854723482456393E-2</v>
      </c>
      <c r="G106" s="549"/>
      <c r="H106" s="550"/>
      <c r="I106" s="549"/>
      <c r="J106" s="549"/>
      <c r="K106" s="551"/>
      <c r="L106" s="538"/>
      <c r="M106" s="548"/>
      <c r="N106" s="549"/>
      <c r="O106" s="549"/>
      <c r="P106" s="103">
        <f>R16+R17</f>
        <v>0</v>
      </c>
      <c r="Q106" s="103">
        <f>S16+S17</f>
        <v>9.970442904199075</v>
      </c>
      <c r="R106" s="103">
        <f t="shared" ref="R106:CC106" si="52">T16+T17</f>
        <v>16.209794773444557</v>
      </c>
      <c r="S106" s="103">
        <f t="shared" si="52"/>
        <v>16.209794773444557</v>
      </c>
      <c r="T106" s="103">
        <f t="shared" si="52"/>
        <v>16.209794773444557</v>
      </c>
      <c r="U106" s="103">
        <f t="shared" si="52"/>
        <v>17.388371169035054</v>
      </c>
      <c r="V106" s="103">
        <f t="shared" si="52"/>
        <v>16.209794773444557</v>
      </c>
      <c r="W106" s="103">
        <f t="shared" si="52"/>
        <v>16.209794773444557</v>
      </c>
      <c r="X106" s="103">
        <f t="shared" si="52"/>
        <v>16.209794773444557</v>
      </c>
      <c r="Y106" s="103">
        <f t="shared" si="52"/>
        <v>21.992185214310418</v>
      </c>
      <c r="Z106" s="103">
        <f t="shared" si="52"/>
        <v>16.209794773444557</v>
      </c>
      <c r="AA106" s="103">
        <f t="shared" si="52"/>
        <v>16.209794773444557</v>
      </c>
      <c r="AB106" s="103">
        <f t="shared" si="52"/>
        <v>16.209794773444557</v>
      </c>
      <c r="AC106" s="103">
        <f t="shared" si="52"/>
        <v>17.388371169035054</v>
      </c>
      <c r="AD106" s="103">
        <f t="shared" si="52"/>
        <v>16.209794773444557</v>
      </c>
      <c r="AE106" s="103">
        <f t="shared" si="52"/>
        <v>16.209794773444557</v>
      </c>
      <c r="AF106" s="103">
        <f t="shared" si="52"/>
        <v>16.209794773444557</v>
      </c>
      <c r="AG106" s="103">
        <f t="shared" si="52"/>
        <v>17.388371169035054</v>
      </c>
      <c r="AH106" s="103">
        <f t="shared" si="52"/>
        <v>16.209794773444557</v>
      </c>
      <c r="AI106" s="103">
        <f t="shared" si="52"/>
        <v>16.209794773444557</v>
      </c>
      <c r="AJ106" s="103">
        <f t="shared" si="52"/>
        <v>16.209794773444557</v>
      </c>
      <c r="AK106" s="103">
        <f t="shared" si="52"/>
        <v>17.388371169035054</v>
      </c>
      <c r="AL106" s="103">
        <f t="shared" si="52"/>
        <v>16.209794773444557</v>
      </c>
      <c r="AM106" s="103">
        <f t="shared" si="52"/>
        <v>16.209794773444557</v>
      </c>
      <c r="AN106" s="103">
        <f t="shared" si="52"/>
        <v>16.209794773444557</v>
      </c>
      <c r="AO106" s="103">
        <f t="shared" si="52"/>
        <v>21.992185214310418</v>
      </c>
      <c r="AP106" s="103">
        <f t="shared" si="52"/>
        <v>16.209794773444557</v>
      </c>
      <c r="AQ106" s="103">
        <f t="shared" si="52"/>
        <v>16.209794773444557</v>
      </c>
      <c r="AR106" s="103">
        <f t="shared" si="52"/>
        <v>16.209794773444557</v>
      </c>
      <c r="AS106" s="103">
        <f t="shared" si="52"/>
        <v>17.388371169035054</v>
      </c>
      <c r="AT106" s="103">
        <f t="shared" si="52"/>
        <v>16.209794773444557</v>
      </c>
      <c r="AU106" s="103">
        <f t="shared" si="52"/>
        <v>16.209794773444557</v>
      </c>
      <c r="AV106" s="103">
        <f t="shared" si="52"/>
        <v>16.209794773444557</v>
      </c>
      <c r="AW106" s="103">
        <f t="shared" si="52"/>
        <v>17.388371169035054</v>
      </c>
      <c r="AX106" s="103">
        <f t="shared" si="52"/>
        <v>16.209794773444557</v>
      </c>
      <c r="AY106" s="103">
        <f t="shared" si="52"/>
        <v>16.209794773444557</v>
      </c>
      <c r="AZ106" s="103">
        <f t="shared" si="52"/>
        <v>16.209794773444557</v>
      </c>
      <c r="BA106" s="103">
        <f t="shared" si="52"/>
        <v>17.49886270612166</v>
      </c>
      <c r="BB106" s="103">
        <f t="shared" si="52"/>
        <v>16.209794773444557</v>
      </c>
      <c r="BC106" s="555">
        <f t="shared" si="52"/>
        <v>16.209794773444557</v>
      </c>
      <c r="BD106" s="103">
        <f t="shared" si="52"/>
        <v>16.209794773444557</v>
      </c>
      <c r="BE106" s="103">
        <f t="shared" si="52"/>
        <v>17.314710144310645</v>
      </c>
      <c r="BF106" s="103">
        <f t="shared" si="52"/>
        <v>16.209794773444557</v>
      </c>
      <c r="BG106" s="103">
        <f t="shared" si="52"/>
        <v>16.209794773444557</v>
      </c>
      <c r="BH106" s="103">
        <f t="shared" si="52"/>
        <v>16.209794773444557</v>
      </c>
      <c r="BI106" s="103">
        <f t="shared" si="52"/>
        <v>20.813608818719924</v>
      </c>
      <c r="BJ106" s="103">
        <f t="shared" si="52"/>
        <v>16.209794773444557</v>
      </c>
      <c r="BK106" s="103">
        <f t="shared" si="52"/>
        <v>16.209794773444557</v>
      </c>
      <c r="BL106" s="103">
        <f t="shared" si="52"/>
        <v>16.209794773444557</v>
      </c>
      <c r="BM106" s="103">
        <f t="shared" si="52"/>
        <v>17.314710144310645</v>
      </c>
      <c r="BN106" s="103">
        <f t="shared" si="52"/>
        <v>16.209794773444557</v>
      </c>
      <c r="BO106" s="103">
        <f t="shared" si="52"/>
        <v>16.209794773444557</v>
      </c>
      <c r="BP106" s="103">
        <f t="shared" si="52"/>
        <v>16.209794773444557</v>
      </c>
      <c r="BQ106" s="103">
        <f t="shared" si="52"/>
        <v>17.314710144310645</v>
      </c>
      <c r="BR106" s="103">
        <f t="shared" si="52"/>
        <v>16.209794773444557</v>
      </c>
      <c r="BS106" s="103">
        <f t="shared" si="52"/>
        <v>16.209794773444557</v>
      </c>
      <c r="BT106" s="103">
        <f t="shared" si="52"/>
        <v>16.209794773444557</v>
      </c>
      <c r="BU106" s="103">
        <f t="shared" si="52"/>
        <v>17.314710144310645</v>
      </c>
      <c r="BV106" s="103">
        <f t="shared" si="52"/>
        <v>16.209794773444557</v>
      </c>
      <c r="BW106" s="103">
        <f t="shared" si="52"/>
        <v>16.209794773444557</v>
      </c>
      <c r="BX106" s="103">
        <f t="shared" si="52"/>
        <v>16.209794773444557</v>
      </c>
      <c r="BY106" s="103">
        <f t="shared" si="52"/>
        <v>17.314710144310645</v>
      </c>
      <c r="BZ106" s="103">
        <f t="shared" si="52"/>
        <v>16.209794773444557</v>
      </c>
      <c r="CA106" s="103">
        <f t="shared" si="52"/>
        <v>16.209794773444557</v>
      </c>
      <c r="CB106" s="103">
        <f t="shared" si="52"/>
        <v>16.209794773444557</v>
      </c>
      <c r="CC106" s="103">
        <f t="shared" si="52"/>
        <v>20.629456256908909</v>
      </c>
      <c r="CD106" s="103">
        <f t="shared" ref="CD106:CK106" si="53">CF16+CF17</f>
        <v>16.209794773444557</v>
      </c>
      <c r="CE106" s="103">
        <f t="shared" si="53"/>
        <v>16.209794773444557</v>
      </c>
      <c r="CF106" s="103">
        <f t="shared" si="53"/>
        <v>16.209794773444557</v>
      </c>
      <c r="CG106" s="103">
        <f t="shared" si="53"/>
        <v>17.314710144310645</v>
      </c>
      <c r="CH106" s="103">
        <f t="shared" si="53"/>
        <v>14.835856529671943</v>
      </c>
      <c r="CI106" s="103">
        <f t="shared" si="53"/>
        <v>7.4179282648359717</v>
      </c>
      <c r="CJ106" s="103">
        <f t="shared" si="53"/>
        <v>0</v>
      </c>
      <c r="CK106" s="103">
        <f t="shared" si="53"/>
        <v>0</v>
      </c>
    </row>
    <row r="107" spans="2:89" ht="15" customHeight="1">
      <c r="B107" s="136" t="s">
        <v>663</v>
      </c>
      <c r="C107" s="137"/>
      <c r="D107" s="340">
        <f>D108/1000000*D106*2.47105</f>
        <v>169.71502520699997</v>
      </c>
      <c r="F107" s="553">
        <f>SUM(G107:CK107)-D107</f>
        <v>9.9431587060507809E-3</v>
      </c>
      <c r="G107" s="549"/>
      <c r="H107" s="550"/>
      <c r="I107" s="549"/>
      <c r="J107" s="549"/>
      <c r="K107" s="551"/>
      <c r="L107" s="538"/>
      <c r="M107" s="548"/>
      <c r="N107" s="549"/>
      <c r="O107" s="549"/>
      <c r="P107" s="103"/>
      <c r="Q107" s="103">
        <f>$D107*Q106/$D106</f>
        <v>1.4462683494111965</v>
      </c>
      <c r="R107" s="103">
        <f>$D107*R106/$D106</f>
        <v>2.3513211355345636</v>
      </c>
      <c r="S107" s="103">
        <f t="shared" ref="S107:CD107" si="54">$D107*S106/$D106</f>
        <v>2.3513211355345636</v>
      </c>
      <c r="T107" s="103">
        <f t="shared" si="54"/>
        <v>2.3513211355345636</v>
      </c>
      <c r="U107" s="103">
        <f t="shared" si="54"/>
        <v>2.5222802147533812</v>
      </c>
      <c r="V107" s="103">
        <f t="shared" si="54"/>
        <v>2.3513211355345636</v>
      </c>
      <c r="W107" s="103">
        <f t="shared" si="54"/>
        <v>2.3513211355345636</v>
      </c>
      <c r="X107" s="103">
        <f t="shared" si="54"/>
        <v>2.3513211355345636</v>
      </c>
      <c r="Y107" s="103">
        <f t="shared" si="54"/>
        <v>3.1900891179518842</v>
      </c>
      <c r="Z107" s="103">
        <f t="shared" si="54"/>
        <v>2.3513211355345636</v>
      </c>
      <c r="AA107" s="103">
        <f t="shared" si="54"/>
        <v>2.3513211355345636</v>
      </c>
      <c r="AB107" s="103">
        <f t="shared" si="54"/>
        <v>2.3513211355345636</v>
      </c>
      <c r="AC107" s="103">
        <f t="shared" si="54"/>
        <v>2.5222802147533812</v>
      </c>
      <c r="AD107" s="103">
        <f t="shared" si="54"/>
        <v>2.3513211355345636</v>
      </c>
      <c r="AE107" s="103">
        <f t="shared" si="54"/>
        <v>2.3513211355345636</v>
      </c>
      <c r="AF107" s="103">
        <f t="shared" si="54"/>
        <v>2.3513211355345636</v>
      </c>
      <c r="AG107" s="103">
        <f t="shared" si="54"/>
        <v>2.5222802147533812</v>
      </c>
      <c r="AH107" s="103">
        <f t="shared" si="54"/>
        <v>2.3513211355345636</v>
      </c>
      <c r="AI107" s="103">
        <f t="shared" si="54"/>
        <v>2.3513211355345636</v>
      </c>
      <c r="AJ107" s="103">
        <f t="shared" si="54"/>
        <v>2.3513211355345636</v>
      </c>
      <c r="AK107" s="103">
        <f t="shared" si="54"/>
        <v>2.5222802147533812</v>
      </c>
      <c r="AL107" s="103">
        <f t="shared" si="54"/>
        <v>2.3513211355345636</v>
      </c>
      <c r="AM107" s="103">
        <f t="shared" si="54"/>
        <v>2.3513211355345636</v>
      </c>
      <c r="AN107" s="103">
        <f t="shared" si="54"/>
        <v>2.3513211355345636</v>
      </c>
      <c r="AO107" s="103">
        <f t="shared" si="54"/>
        <v>3.1900891179518842</v>
      </c>
      <c r="AP107" s="103">
        <f t="shared" si="54"/>
        <v>2.3513211355345636</v>
      </c>
      <c r="AQ107" s="103">
        <f t="shared" si="54"/>
        <v>2.3513211355345636</v>
      </c>
      <c r="AR107" s="103">
        <f t="shared" si="54"/>
        <v>2.3513211355345636</v>
      </c>
      <c r="AS107" s="103">
        <f t="shared" si="54"/>
        <v>2.5222802147533812</v>
      </c>
      <c r="AT107" s="103">
        <f t="shared" si="54"/>
        <v>2.3513211355345636</v>
      </c>
      <c r="AU107" s="103">
        <f t="shared" si="54"/>
        <v>2.3513211355345636</v>
      </c>
      <c r="AV107" s="103">
        <f t="shared" si="54"/>
        <v>2.3513211355345636</v>
      </c>
      <c r="AW107" s="103">
        <f t="shared" si="54"/>
        <v>2.5222802147533812</v>
      </c>
      <c r="AX107" s="103">
        <f t="shared" si="54"/>
        <v>2.3513211355345636</v>
      </c>
      <c r="AY107" s="103">
        <f t="shared" si="54"/>
        <v>2.3513211355345636</v>
      </c>
      <c r="AZ107" s="103">
        <f t="shared" si="54"/>
        <v>2.3513211355345636</v>
      </c>
      <c r="BA107" s="103">
        <f t="shared" si="54"/>
        <v>2.5383076284301445</v>
      </c>
      <c r="BB107" s="103">
        <f t="shared" si="54"/>
        <v>2.3513211355345636</v>
      </c>
      <c r="BC107" s="555">
        <f t="shared" si="54"/>
        <v>2.3513211355345636</v>
      </c>
      <c r="BD107" s="103">
        <f t="shared" si="54"/>
        <v>2.3513211355345636</v>
      </c>
      <c r="BE107" s="103">
        <f t="shared" si="54"/>
        <v>2.5115952723022041</v>
      </c>
      <c r="BF107" s="103">
        <f t="shared" si="54"/>
        <v>2.3513211355345636</v>
      </c>
      <c r="BG107" s="103">
        <f t="shared" si="54"/>
        <v>2.3513211355345636</v>
      </c>
      <c r="BH107" s="103">
        <f t="shared" si="54"/>
        <v>2.3513211355345636</v>
      </c>
      <c r="BI107" s="103">
        <f t="shared" si="54"/>
        <v>3.0191300387330675</v>
      </c>
      <c r="BJ107" s="103">
        <f t="shared" si="54"/>
        <v>2.3513211355345636</v>
      </c>
      <c r="BK107" s="103">
        <f t="shared" si="54"/>
        <v>2.3513211355345636</v>
      </c>
      <c r="BL107" s="103">
        <f t="shared" si="54"/>
        <v>2.3513211355345636</v>
      </c>
      <c r="BM107" s="103">
        <f t="shared" si="54"/>
        <v>2.5115952723022041</v>
      </c>
      <c r="BN107" s="103">
        <f t="shared" si="54"/>
        <v>2.3513211355345636</v>
      </c>
      <c r="BO107" s="103">
        <f t="shared" si="54"/>
        <v>2.3513211355345636</v>
      </c>
      <c r="BP107" s="103">
        <f t="shared" si="54"/>
        <v>2.3513211355345636</v>
      </c>
      <c r="BQ107" s="103">
        <f t="shared" si="54"/>
        <v>2.5115952723022041</v>
      </c>
      <c r="BR107" s="103">
        <f t="shared" si="54"/>
        <v>2.3513211355345636</v>
      </c>
      <c r="BS107" s="103">
        <f t="shared" si="54"/>
        <v>2.3513211355345636</v>
      </c>
      <c r="BT107" s="103">
        <f t="shared" si="54"/>
        <v>2.3513211355345636</v>
      </c>
      <c r="BU107" s="103">
        <f t="shared" si="54"/>
        <v>2.5115952723022041</v>
      </c>
      <c r="BV107" s="103">
        <f t="shared" si="54"/>
        <v>2.3513211355345636</v>
      </c>
      <c r="BW107" s="103">
        <f t="shared" si="54"/>
        <v>2.3513211355345636</v>
      </c>
      <c r="BX107" s="103">
        <f t="shared" si="54"/>
        <v>2.3513211355345636</v>
      </c>
      <c r="BY107" s="103">
        <f t="shared" si="54"/>
        <v>2.5115952723022041</v>
      </c>
      <c r="BZ107" s="103">
        <f t="shared" si="54"/>
        <v>2.3513211355345636</v>
      </c>
      <c r="CA107" s="103">
        <f t="shared" si="54"/>
        <v>2.3513211355345636</v>
      </c>
      <c r="CB107" s="103">
        <f t="shared" si="54"/>
        <v>2.3513211355345636</v>
      </c>
      <c r="CC107" s="103">
        <f t="shared" si="54"/>
        <v>2.9924176826051272</v>
      </c>
      <c r="CD107" s="103">
        <f t="shared" si="54"/>
        <v>2.3513211355345636</v>
      </c>
      <c r="CE107" s="103">
        <f t="shared" ref="CE107:CK107" si="55">$D107*CE106/$D106</f>
        <v>2.3513211355345636</v>
      </c>
      <c r="CF107" s="103">
        <f t="shared" si="55"/>
        <v>2.3513211355345636</v>
      </c>
      <c r="CG107" s="103">
        <f t="shared" si="55"/>
        <v>2.5115952723022041</v>
      </c>
      <c r="CH107" s="103">
        <f t="shared" si="55"/>
        <v>2.1520237306843666</v>
      </c>
      <c r="CI107" s="103">
        <f t="shared" si="55"/>
        <v>1.0760118653421833</v>
      </c>
      <c r="CJ107" s="103">
        <f t="shared" si="55"/>
        <v>0</v>
      </c>
      <c r="CK107" s="103">
        <f t="shared" si="55"/>
        <v>0</v>
      </c>
    </row>
    <row r="108" spans="2:89" ht="15" customHeight="1">
      <c r="B108" s="134" t="s">
        <v>626</v>
      </c>
      <c r="C108" s="138"/>
      <c r="D108" s="676">
        <v>58702</v>
      </c>
      <c r="F108" s="548"/>
      <c r="G108" s="549"/>
      <c r="H108" s="550"/>
      <c r="I108" s="549"/>
      <c r="J108" s="549"/>
      <c r="K108" s="551"/>
      <c r="L108" s="538"/>
      <c r="M108" s="548"/>
      <c r="N108" s="549"/>
      <c r="O108" s="549"/>
      <c r="P108" s="549"/>
      <c r="Q108" s="549"/>
      <c r="R108" s="552"/>
      <c r="S108" s="552"/>
    </row>
    <row r="109" spans="2:89" ht="15" customHeight="1">
      <c r="D109" s="758" t="s">
        <v>627</v>
      </c>
      <c r="F109" s="548"/>
      <c r="G109" s="549"/>
      <c r="H109" s="550"/>
      <c r="I109" s="549"/>
      <c r="J109" s="549"/>
      <c r="K109" s="551"/>
      <c r="L109" s="538"/>
      <c r="M109" s="548"/>
      <c r="N109" s="549"/>
      <c r="O109" s="549"/>
      <c r="P109" s="549"/>
      <c r="Q109" s="549"/>
      <c r="R109" s="552"/>
      <c r="S109" s="552"/>
    </row>
    <row r="110" spans="2:89" ht="15" customHeight="1">
      <c r="D110" s="61" t="s">
        <v>658</v>
      </c>
      <c r="F110" s="396"/>
      <c r="G110" s="396"/>
      <c r="H110" s="396"/>
      <c r="I110" s="396"/>
      <c r="J110" s="396"/>
      <c r="K110" s="396"/>
      <c r="L110" s="396"/>
      <c r="M110" s="396"/>
      <c r="N110" s="396"/>
      <c r="O110" s="396"/>
      <c r="P110" s="396"/>
      <c r="Q110" s="396"/>
      <c r="R110" s="396"/>
      <c r="S110" s="396"/>
    </row>
    <row r="111" spans="2:89" ht="15" customHeight="1">
      <c r="B111" s="173" t="s">
        <v>623</v>
      </c>
    </row>
    <row r="112" spans="2:89" s="2" customFormat="1" ht="15" customHeight="1">
      <c r="B112" s="177"/>
      <c r="C112" s="188" t="s">
        <v>113</v>
      </c>
      <c r="D112" s="178" t="s">
        <v>4</v>
      </c>
      <c r="E112" s="179"/>
      <c r="F112" s="63"/>
      <c r="G112" s="63">
        <v>2017</v>
      </c>
      <c r="H112" s="63">
        <v>2018</v>
      </c>
      <c r="I112" s="63">
        <v>2019</v>
      </c>
      <c r="J112" s="63">
        <v>2020</v>
      </c>
      <c r="K112" s="63">
        <v>2021</v>
      </c>
      <c r="L112" s="63">
        <v>2022</v>
      </c>
      <c r="M112" s="63">
        <v>2023</v>
      </c>
      <c r="N112" s="63">
        <v>2024</v>
      </c>
      <c r="O112" s="63">
        <v>2025</v>
      </c>
      <c r="P112" s="63">
        <v>2026</v>
      </c>
      <c r="Q112" s="63">
        <v>2027</v>
      </c>
      <c r="R112" s="63">
        <v>2028</v>
      </c>
      <c r="S112" s="63">
        <v>2029</v>
      </c>
      <c r="T112" s="63">
        <v>2030</v>
      </c>
      <c r="U112" s="63">
        <v>2031</v>
      </c>
      <c r="V112" s="63">
        <v>2032</v>
      </c>
      <c r="W112" s="63">
        <v>2033</v>
      </c>
      <c r="X112" s="63">
        <v>2034</v>
      </c>
      <c r="Y112" s="63">
        <v>2035</v>
      </c>
      <c r="Z112" s="63">
        <v>2036</v>
      </c>
      <c r="AA112" s="63">
        <v>2037</v>
      </c>
      <c r="AB112" s="63">
        <v>2038</v>
      </c>
      <c r="AC112" s="63">
        <v>2039</v>
      </c>
      <c r="AD112" s="63">
        <v>2040</v>
      </c>
      <c r="AE112" s="63">
        <v>2041</v>
      </c>
      <c r="AF112" s="63">
        <v>2042</v>
      </c>
      <c r="AG112" s="63">
        <v>2043</v>
      </c>
      <c r="AH112" s="63">
        <v>2044</v>
      </c>
      <c r="AI112" s="63">
        <v>2045</v>
      </c>
      <c r="AJ112" s="63">
        <v>2046</v>
      </c>
      <c r="AK112" s="63">
        <v>2047</v>
      </c>
      <c r="AL112" s="63">
        <v>2048</v>
      </c>
      <c r="AM112" s="63">
        <v>2049</v>
      </c>
      <c r="AN112" s="63">
        <v>2050</v>
      </c>
      <c r="AO112" s="63">
        <v>2051</v>
      </c>
      <c r="AP112" s="63">
        <v>2052</v>
      </c>
      <c r="AQ112" s="63">
        <v>2053</v>
      </c>
      <c r="AR112" s="63">
        <v>2054</v>
      </c>
      <c r="AS112" s="63">
        <v>2055</v>
      </c>
      <c r="AT112" s="63">
        <v>2056</v>
      </c>
      <c r="AU112" s="63">
        <v>2057</v>
      </c>
      <c r="AV112" s="63">
        <v>2058</v>
      </c>
      <c r="AW112" s="63">
        <v>2059</v>
      </c>
      <c r="AX112" s="63">
        <v>2060</v>
      </c>
      <c r="AY112" s="63">
        <v>2061</v>
      </c>
      <c r="AZ112" s="63">
        <v>2062</v>
      </c>
      <c r="BA112" s="63">
        <v>2063</v>
      </c>
      <c r="BB112" s="63">
        <v>2064</v>
      </c>
      <c r="BC112" s="569">
        <v>2065</v>
      </c>
      <c r="BD112" s="63">
        <v>2066</v>
      </c>
      <c r="BE112" s="63">
        <v>2067</v>
      </c>
      <c r="BF112" s="63">
        <v>2068</v>
      </c>
      <c r="BG112" s="63">
        <v>2069</v>
      </c>
      <c r="BH112" s="63">
        <v>2070</v>
      </c>
      <c r="BI112" s="63">
        <v>2071</v>
      </c>
      <c r="BJ112" s="63">
        <v>2072</v>
      </c>
      <c r="BK112" s="63">
        <v>2073</v>
      </c>
      <c r="BL112" s="63">
        <v>2074</v>
      </c>
      <c r="BM112" s="63">
        <v>2075</v>
      </c>
      <c r="BN112" s="63">
        <v>2076</v>
      </c>
      <c r="BO112" s="63">
        <v>2077</v>
      </c>
      <c r="BP112" s="63">
        <v>2078</v>
      </c>
      <c r="BQ112" s="63">
        <v>2079</v>
      </c>
      <c r="BR112" s="63">
        <v>2080</v>
      </c>
      <c r="BS112" s="63">
        <v>2081</v>
      </c>
      <c r="BT112" s="63">
        <v>2082</v>
      </c>
      <c r="BU112" s="63">
        <v>2083</v>
      </c>
      <c r="BV112" s="63">
        <v>2084</v>
      </c>
      <c r="BW112" s="63">
        <v>2085</v>
      </c>
      <c r="BX112" s="63">
        <v>2086</v>
      </c>
      <c r="BY112" s="63">
        <v>2087</v>
      </c>
      <c r="BZ112" s="63">
        <v>2088</v>
      </c>
      <c r="CA112" s="63">
        <v>2089</v>
      </c>
      <c r="CB112" s="63">
        <v>2090</v>
      </c>
      <c r="CC112" s="63">
        <v>2091</v>
      </c>
      <c r="CD112" s="63">
        <v>2092</v>
      </c>
      <c r="CE112" s="63">
        <v>2093</v>
      </c>
      <c r="CF112" s="63">
        <v>2094</v>
      </c>
      <c r="CG112" s="63">
        <v>2095</v>
      </c>
      <c r="CH112" s="63">
        <v>2096</v>
      </c>
      <c r="CI112" s="63">
        <v>2097</v>
      </c>
      <c r="CJ112" s="63">
        <v>2098</v>
      </c>
      <c r="CK112" s="63">
        <v>2099</v>
      </c>
    </row>
    <row r="113" spans="2:89" s="442" customFormat="1" ht="15" customHeight="1">
      <c r="B113" s="576" t="s">
        <v>118</v>
      </c>
      <c r="C113" s="577"/>
      <c r="D113" s="578">
        <f>D94</f>
        <v>2102.6213728675302</v>
      </c>
      <c r="E113" s="95"/>
      <c r="F113" s="577"/>
      <c r="G113" s="577"/>
      <c r="H113" s="577"/>
      <c r="I113" s="577"/>
      <c r="J113" s="577"/>
      <c r="K113" s="577"/>
      <c r="L113" s="577"/>
      <c r="M113" s="577"/>
      <c r="N113" s="577"/>
      <c r="O113" s="577"/>
      <c r="P113" s="579">
        <f>P94</f>
        <v>0</v>
      </c>
      <c r="Q113" s="579">
        <f t="shared" ref="Q113:CB113" si="56">Q94</f>
        <v>0</v>
      </c>
      <c r="R113" s="579">
        <f t="shared" si="56"/>
        <v>0</v>
      </c>
      <c r="S113" s="579">
        <f t="shared" si="56"/>
        <v>16.93458409389158</v>
      </c>
      <c r="T113" s="579">
        <f t="shared" si="56"/>
        <v>28.984485868387157</v>
      </c>
      <c r="U113" s="579">
        <f t="shared" si="56"/>
        <v>28.984485868387157</v>
      </c>
      <c r="V113" s="579">
        <f t="shared" si="56"/>
        <v>28.984485868387157</v>
      </c>
      <c r="W113" s="579">
        <f t="shared" si="56"/>
        <v>31.352421546779119</v>
      </c>
      <c r="X113" s="579">
        <f t="shared" si="56"/>
        <v>28.984485868387157</v>
      </c>
      <c r="Y113" s="579">
        <f t="shared" si="56"/>
        <v>28.984485868387157</v>
      </c>
      <c r="Z113" s="579">
        <f t="shared" si="56"/>
        <v>28.984485868387157</v>
      </c>
      <c r="AA113" s="579">
        <f t="shared" si="56"/>
        <v>40.60217029049771</v>
      </c>
      <c r="AB113" s="579">
        <f t="shared" si="56"/>
        <v>28.984485868387157</v>
      </c>
      <c r="AC113" s="579">
        <f t="shared" si="56"/>
        <v>28.984485868387157</v>
      </c>
      <c r="AD113" s="579">
        <f t="shared" si="56"/>
        <v>28.984485868387157</v>
      </c>
      <c r="AE113" s="579">
        <f t="shared" si="56"/>
        <v>31.352421546779119</v>
      </c>
      <c r="AF113" s="579">
        <f t="shared" si="56"/>
        <v>28.984485868387157</v>
      </c>
      <c r="AG113" s="579">
        <f t="shared" si="56"/>
        <v>28.984485868387157</v>
      </c>
      <c r="AH113" s="579">
        <f t="shared" si="56"/>
        <v>28.984485868387157</v>
      </c>
      <c r="AI113" s="579">
        <f t="shared" si="56"/>
        <v>31.352421546779119</v>
      </c>
      <c r="AJ113" s="579">
        <f t="shared" si="56"/>
        <v>28.984485868387157</v>
      </c>
      <c r="AK113" s="579">
        <f t="shared" si="56"/>
        <v>28.984485868387157</v>
      </c>
      <c r="AL113" s="579">
        <f t="shared" si="56"/>
        <v>28.984485868387157</v>
      </c>
      <c r="AM113" s="579">
        <f t="shared" si="56"/>
        <v>31.352421546779119</v>
      </c>
      <c r="AN113" s="579">
        <f t="shared" si="56"/>
        <v>28.984485868387157</v>
      </c>
      <c r="AO113" s="579">
        <f t="shared" si="56"/>
        <v>28.984485868387157</v>
      </c>
      <c r="AP113" s="579">
        <f t="shared" si="56"/>
        <v>28.984485868387157</v>
      </c>
      <c r="AQ113" s="579">
        <f t="shared" si="56"/>
        <v>40.60217029049771</v>
      </c>
      <c r="AR113" s="579">
        <f t="shared" si="56"/>
        <v>28.984485868387157</v>
      </c>
      <c r="AS113" s="579">
        <f t="shared" si="56"/>
        <v>28.984485868387157</v>
      </c>
      <c r="AT113" s="579">
        <f t="shared" si="56"/>
        <v>28.984485868387157</v>
      </c>
      <c r="AU113" s="579">
        <f t="shared" si="56"/>
        <v>31.352421546779119</v>
      </c>
      <c r="AV113" s="579">
        <f t="shared" si="56"/>
        <v>28.984485868387157</v>
      </c>
      <c r="AW113" s="579">
        <f t="shared" si="56"/>
        <v>28.984485868387157</v>
      </c>
      <c r="AX113" s="579">
        <f t="shared" si="56"/>
        <v>28.984485868387157</v>
      </c>
      <c r="AY113" s="579">
        <f t="shared" si="56"/>
        <v>31.352421546779119</v>
      </c>
      <c r="AZ113" s="579">
        <f t="shared" si="56"/>
        <v>28.984485868387157</v>
      </c>
      <c r="BA113" s="579">
        <f t="shared" si="56"/>
        <v>28.984485868387157</v>
      </c>
      <c r="BB113" s="579">
        <f t="shared" si="56"/>
        <v>28.984485868387157</v>
      </c>
      <c r="BC113" s="606">
        <f t="shared" si="56"/>
        <v>31.57441551662836</v>
      </c>
      <c r="BD113" s="579">
        <f t="shared" si="56"/>
        <v>28.984485868387157</v>
      </c>
      <c r="BE113" s="579">
        <f t="shared" si="56"/>
        <v>28.984485868387157</v>
      </c>
      <c r="BF113" s="579">
        <f t="shared" si="56"/>
        <v>28.984485868387157</v>
      </c>
      <c r="BG113" s="579">
        <f t="shared" si="56"/>
        <v>31.204425566879618</v>
      </c>
      <c r="BH113" s="579">
        <f t="shared" si="56"/>
        <v>28.984485868387157</v>
      </c>
      <c r="BI113" s="579">
        <f t="shared" si="56"/>
        <v>28.984485868387157</v>
      </c>
      <c r="BJ113" s="579">
        <f t="shared" si="56"/>
        <v>28.984485868387157</v>
      </c>
      <c r="BK113" s="579">
        <f t="shared" si="56"/>
        <v>38.234234612105745</v>
      </c>
      <c r="BL113" s="579">
        <f t="shared" si="56"/>
        <v>28.984485868387157</v>
      </c>
      <c r="BM113" s="579">
        <f t="shared" si="56"/>
        <v>28.984485868387157</v>
      </c>
      <c r="BN113" s="579">
        <f t="shared" si="56"/>
        <v>28.984485868387157</v>
      </c>
      <c r="BO113" s="579">
        <f t="shared" si="56"/>
        <v>31.204425566879618</v>
      </c>
      <c r="BP113" s="579">
        <f t="shared" si="56"/>
        <v>28.984485868387157</v>
      </c>
      <c r="BQ113" s="579">
        <f t="shared" si="56"/>
        <v>28.984485868387157</v>
      </c>
      <c r="BR113" s="579">
        <f t="shared" si="56"/>
        <v>28.984485868387157</v>
      </c>
      <c r="BS113" s="579">
        <f t="shared" si="56"/>
        <v>31.204425566879618</v>
      </c>
      <c r="BT113" s="579">
        <f t="shared" si="56"/>
        <v>28.984485868387157</v>
      </c>
      <c r="BU113" s="579">
        <f t="shared" si="56"/>
        <v>28.984485868387157</v>
      </c>
      <c r="BV113" s="579">
        <f t="shared" si="56"/>
        <v>28.984485868387157</v>
      </c>
      <c r="BW113" s="579">
        <f t="shared" si="56"/>
        <v>31.204425566879618</v>
      </c>
      <c r="BX113" s="579">
        <f t="shared" si="56"/>
        <v>28.984485868387157</v>
      </c>
      <c r="BY113" s="579">
        <f t="shared" si="56"/>
        <v>28.984485868387157</v>
      </c>
      <c r="BZ113" s="579">
        <f t="shared" si="56"/>
        <v>28.984485868387157</v>
      </c>
      <c r="CA113" s="579">
        <f t="shared" si="56"/>
        <v>31.204425566879618</v>
      </c>
      <c r="CB113" s="579">
        <f t="shared" si="56"/>
        <v>28.984485868387157</v>
      </c>
      <c r="CC113" s="579">
        <f t="shared" ref="CC113:CK113" si="57">CC94</f>
        <v>28.984485868387157</v>
      </c>
      <c r="CD113" s="579">
        <f t="shared" si="57"/>
        <v>28.984485868387157</v>
      </c>
      <c r="CE113" s="579">
        <f t="shared" si="57"/>
        <v>37.864244662357009</v>
      </c>
      <c r="CF113" s="579">
        <f t="shared" si="57"/>
        <v>28.984485868387157</v>
      </c>
      <c r="CG113" s="579">
        <f t="shared" si="57"/>
        <v>28.984485868387157</v>
      </c>
      <c r="CH113" s="579">
        <f t="shared" si="57"/>
        <v>28.984485868387157</v>
      </c>
      <c r="CI113" s="579">
        <f t="shared" si="57"/>
        <v>31.204425566879618</v>
      </c>
      <c r="CJ113" s="579">
        <f t="shared" si="57"/>
        <v>28.835674905775079</v>
      </c>
      <c r="CK113" s="579">
        <f t="shared" si="57"/>
        <v>14.417837452887539</v>
      </c>
    </row>
    <row r="114" spans="2:89" s="442" customFormat="1" ht="15" customHeight="1">
      <c r="B114" s="576" t="s">
        <v>52</v>
      </c>
      <c r="C114" s="577"/>
      <c r="D114" s="578">
        <f>D95</f>
        <v>-1340.5999999999995</v>
      </c>
      <c r="E114" s="95"/>
      <c r="F114" s="577"/>
      <c r="G114" s="577"/>
      <c r="H114" s="577"/>
      <c r="I114" s="577"/>
      <c r="J114" s="577"/>
      <c r="K114" s="577"/>
      <c r="L114" s="577"/>
      <c r="M114" s="577"/>
      <c r="N114" s="577"/>
      <c r="O114" s="577"/>
      <c r="P114" s="579">
        <f>-P89</f>
        <v>-1.4</v>
      </c>
      <c r="Q114" s="579">
        <f t="shared" ref="Q114:CB114" si="58">-Q89</f>
        <v>-1.4</v>
      </c>
      <c r="R114" s="579">
        <f t="shared" si="58"/>
        <v>-5.2</v>
      </c>
      <c r="S114" s="579">
        <f t="shared" si="58"/>
        <v>-22</v>
      </c>
      <c r="T114" s="579">
        <f t="shared" si="58"/>
        <v>-48.5</v>
      </c>
      <c r="U114" s="579">
        <f t="shared" si="58"/>
        <v>-31.5</v>
      </c>
      <c r="V114" s="579">
        <f t="shared" si="58"/>
        <v>-51.5</v>
      </c>
      <c r="W114" s="579">
        <f t="shared" si="58"/>
        <v>-34.799999999999997</v>
      </c>
      <c r="X114" s="579">
        <f t="shared" si="58"/>
        <v>-25.4</v>
      </c>
      <c r="Y114" s="579">
        <f t="shared" si="58"/>
        <v>-37.799999999999997</v>
      </c>
      <c r="Z114" s="579">
        <f t="shared" si="58"/>
        <v>-41.1</v>
      </c>
      <c r="AA114" s="579">
        <f t="shared" si="58"/>
        <v>-30.6</v>
      </c>
      <c r="AB114" s="579">
        <f t="shared" si="58"/>
        <v>-21.9</v>
      </c>
      <c r="AC114" s="579">
        <f t="shared" si="58"/>
        <v>-21.6</v>
      </c>
      <c r="AD114" s="579">
        <f t="shared" si="58"/>
        <v>-15.6</v>
      </c>
      <c r="AE114" s="579">
        <f t="shared" si="58"/>
        <v>-23.4</v>
      </c>
      <c r="AF114" s="579">
        <f t="shared" si="58"/>
        <v>-15.4</v>
      </c>
      <c r="AG114" s="579">
        <f t="shared" si="58"/>
        <v>-26.1</v>
      </c>
      <c r="AH114" s="579">
        <f t="shared" si="58"/>
        <v>-36.5</v>
      </c>
      <c r="AI114" s="579">
        <f t="shared" si="58"/>
        <v>-17.2</v>
      </c>
      <c r="AJ114" s="579">
        <f t="shared" si="58"/>
        <v>-9</v>
      </c>
      <c r="AK114" s="579">
        <f t="shared" si="58"/>
        <v>-22.7</v>
      </c>
      <c r="AL114" s="579">
        <f t="shared" si="58"/>
        <v>-17.3</v>
      </c>
      <c r="AM114" s="579">
        <f t="shared" si="58"/>
        <v>-14.1</v>
      </c>
      <c r="AN114" s="579">
        <f t="shared" si="58"/>
        <v>-28.1</v>
      </c>
      <c r="AO114" s="579">
        <f t="shared" si="58"/>
        <v>-9.1</v>
      </c>
      <c r="AP114" s="579">
        <f t="shared" si="58"/>
        <v>-45.6</v>
      </c>
      <c r="AQ114" s="579">
        <f t="shared" si="58"/>
        <v>-26.8</v>
      </c>
      <c r="AR114" s="579">
        <f t="shared" si="58"/>
        <v>-13.9</v>
      </c>
      <c r="AS114" s="579">
        <f t="shared" si="58"/>
        <v>-17.8</v>
      </c>
      <c r="AT114" s="579">
        <f t="shared" si="58"/>
        <v>-13.8</v>
      </c>
      <c r="AU114" s="579">
        <f t="shared" si="58"/>
        <v>-11.9</v>
      </c>
      <c r="AV114" s="579">
        <f t="shared" si="58"/>
        <v>-15.1</v>
      </c>
      <c r="AW114" s="579">
        <f t="shared" si="58"/>
        <v>-10.8</v>
      </c>
      <c r="AX114" s="579">
        <f t="shared" si="58"/>
        <v>-12.7</v>
      </c>
      <c r="AY114" s="579">
        <f t="shared" si="58"/>
        <v>-32.1</v>
      </c>
      <c r="AZ114" s="579">
        <f t="shared" si="58"/>
        <v>-17.100000000000001</v>
      </c>
      <c r="BA114" s="579">
        <f t="shared" si="58"/>
        <v>-16.600000000000001</v>
      </c>
      <c r="BB114" s="579">
        <f t="shared" si="58"/>
        <v>-10.5</v>
      </c>
      <c r="BC114" s="606">
        <f t="shared" si="58"/>
        <v>-12.3</v>
      </c>
      <c r="BD114" s="579">
        <f t="shared" si="58"/>
        <v>-12.1</v>
      </c>
      <c r="BE114" s="579">
        <f t="shared" si="58"/>
        <v>-11.6</v>
      </c>
      <c r="BF114" s="579">
        <f t="shared" si="58"/>
        <v>-17</v>
      </c>
      <c r="BG114" s="579">
        <f t="shared" si="58"/>
        <v>-14</v>
      </c>
      <c r="BH114" s="579">
        <f t="shared" si="58"/>
        <v>-13.7</v>
      </c>
      <c r="BI114" s="579">
        <f t="shared" si="58"/>
        <v>-12</v>
      </c>
      <c r="BJ114" s="579">
        <f t="shared" si="58"/>
        <v>-11.4</v>
      </c>
      <c r="BK114" s="579">
        <f t="shared" si="58"/>
        <v>-13.2</v>
      </c>
      <c r="BL114" s="579">
        <f t="shared" si="58"/>
        <v>-8.9</v>
      </c>
      <c r="BM114" s="579">
        <f t="shared" si="58"/>
        <v>-17.7</v>
      </c>
      <c r="BN114" s="579">
        <f t="shared" si="58"/>
        <v>-19.399999999999999</v>
      </c>
      <c r="BO114" s="579">
        <f t="shared" si="58"/>
        <v>-11.6</v>
      </c>
      <c r="BP114" s="579">
        <f t="shared" si="58"/>
        <v>-8</v>
      </c>
      <c r="BQ114" s="579">
        <f t="shared" si="58"/>
        <v>-33.5</v>
      </c>
      <c r="BR114" s="579">
        <f t="shared" si="58"/>
        <v>-12.5</v>
      </c>
      <c r="BS114" s="579">
        <f t="shared" si="58"/>
        <v>-17.3</v>
      </c>
      <c r="BT114" s="579">
        <f t="shared" si="58"/>
        <v>-16.100000000000001</v>
      </c>
      <c r="BU114" s="579">
        <f t="shared" si="58"/>
        <v>-29.6</v>
      </c>
      <c r="BV114" s="579">
        <f t="shared" si="58"/>
        <v>-23.7</v>
      </c>
      <c r="BW114" s="579">
        <f t="shared" si="58"/>
        <v>-13.5</v>
      </c>
      <c r="BX114" s="579">
        <f t="shared" si="58"/>
        <v>-8.6999999999999993</v>
      </c>
      <c r="BY114" s="579">
        <f t="shared" si="58"/>
        <v>-12.1</v>
      </c>
      <c r="BZ114" s="579">
        <f t="shared" si="58"/>
        <v>-14.1</v>
      </c>
      <c r="CA114" s="579">
        <f t="shared" si="58"/>
        <v>-19.2</v>
      </c>
      <c r="CB114" s="579">
        <f t="shared" si="58"/>
        <v>-12.6</v>
      </c>
      <c r="CC114" s="579">
        <f t="shared" ref="CC114:CK114" si="59">-CC89</f>
        <v>-11.6</v>
      </c>
      <c r="CD114" s="579">
        <f t="shared" si="59"/>
        <v>-8.3000000000000007</v>
      </c>
      <c r="CE114" s="579">
        <f t="shared" si="59"/>
        <v>-13.1</v>
      </c>
      <c r="CF114" s="579">
        <f t="shared" si="59"/>
        <v>-11</v>
      </c>
      <c r="CG114" s="579">
        <f t="shared" si="59"/>
        <v>-15.8</v>
      </c>
      <c r="CH114" s="579">
        <f t="shared" si="59"/>
        <v>-13.1</v>
      </c>
      <c r="CI114" s="579">
        <f t="shared" si="59"/>
        <v>-8.3000000000000007</v>
      </c>
      <c r="CJ114" s="579">
        <f t="shared" si="59"/>
        <v>-4.5</v>
      </c>
      <c r="CK114" s="579">
        <f t="shared" si="59"/>
        <v>-5.2</v>
      </c>
    </row>
    <row r="115" spans="2:89" s="442" customFormat="1" ht="15" customHeight="1">
      <c r="B115" s="576" t="s">
        <v>628</v>
      </c>
      <c r="C115" s="577"/>
      <c r="D115" s="578">
        <f>-D107</f>
        <v>-169.71502520699997</v>
      </c>
      <c r="E115" s="95"/>
      <c r="F115" s="577"/>
      <c r="G115" s="577"/>
      <c r="H115" s="577"/>
      <c r="I115" s="577"/>
      <c r="J115" s="577"/>
      <c r="K115" s="577"/>
      <c r="L115" s="577"/>
      <c r="M115" s="577"/>
      <c r="N115" s="577"/>
      <c r="O115" s="577"/>
      <c r="P115" s="579">
        <f>-P107</f>
        <v>0</v>
      </c>
      <c r="Q115" s="579">
        <f t="shared" ref="Q115:CB115" si="60">-Q107</f>
        <v>-1.4462683494111965</v>
      </c>
      <c r="R115" s="579">
        <f t="shared" si="60"/>
        <v>-2.3513211355345636</v>
      </c>
      <c r="S115" s="579">
        <f t="shared" si="60"/>
        <v>-2.3513211355345636</v>
      </c>
      <c r="T115" s="579">
        <f t="shared" si="60"/>
        <v>-2.3513211355345636</v>
      </c>
      <c r="U115" s="579">
        <f t="shared" si="60"/>
        <v>-2.5222802147533812</v>
      </c>
      <c r="V115" s="579">
        <f t="shared" si="60"/>
        <v>-2.3513211355345636</v>
      </c>
      <c r="W115" s="579">
        <f t="shared" si="60"/>
        <v>-2.3513211355345636</v>
      </c>
      <c r="X115" s="579">
        <f t="shared" si="60"/>
        <v>-2.3513211355345636</v>
      </c>
      <c r="Y115" s="579">
        <f t="shared" si="60"/>
        <v>-3.1900891179518842</v>
      </c>
      <c r="Z115" s="579">
        <f t="shared" si="60"/>
        <v>-2.3513211355345636</v>
      </c>
      <c r="AA115" s="579">
        <f t="shared" si="60"/>
        <v>-2.3513211355345636</v>
      </c>
      <c r="AB115" s="579">
        <f t="shared" si="60"/>
        <v>-2.3513211355345636</v>
      </c>
      <c r="AC115" s="579">
        <f t="shared" si="60"/>
        <v>-2.5222802147533812</v>
      </c>
      <c r="AD115" s="579">
        <f t="shared" si="60"/>
        <v>-2.3513211355345636</v>
      </c>
      <c r="AE115" s="579">
        <f t="shared" si="60"/>
        <v>-2.3513211355345636</v>
      </c>
      <c r="AF115" s="579">
        <f t="shared" si="60"/>
        <v>-2.3513211355345636</v>
      </c>
      <c r="AG115" s="579">
        <f t="shared" si="60"/>
        <v>-2.5222802147533812</v>
      </c>
      <c r="AH115" s="579">
        <f t="shared" si="60"/>
        <v>-2.3513211355345636</v>
      </c>
      <c r="AI115" s="579">
        <f t="shared" si="60"/>
        <v>-2.3513211355345636</v>
      </c>
      <c r="AJ115" s="579">
        <f t="shared" si="60"/>
        <v>-2.3513211355345636</v>
      </c>
      <c r="AK115" s="579">
        <f t="shared" si="60"/>
        <v>-2.5222802147533812</v>
      </c>
      <c r="AL115" s="579">
        <f t="shared" si="60"/>
        <v>-2.3513211355345636</v>
      </c>
      <c r="AM115" s="579">
        <f t="shared" si="60"/>
        <v>-2.3513211355345636</v>
      </c>
      <c r="AN115" s="579">
        <f t="shared" si="60"/>
        <v>-2.3513211355345636</v>
      </c>
      <c r="AO115" s="579">
        <f t="shared" si="60"/>
        <v>-3.1900891179518842</v>
      </c>
      <c r="AP115" s="579">
        <f t="shared" si="60"/>
        <v>-2.3513211355345636</v>
      </c>
      <c r="AQ115" s="579">
        <f t="shared" si="60"/>
        <v>-2.3513211355345636</v>
      </c>
      <c r="AR115" s="579">
        <f t="shared" si="60"/>
        <v>-2.3513211355345636</v>
      </c>
      <c r="AS115" s="579">
        <f t="shared" si="60"/>
        <v>-2.5222802147533812</v>
      </c>
      <c r="AT115" s="579">
        <f t="shared" si="60"/>
        <v>-2.3513211355345636</v>
      </c>
      <c r="AU115" s="579">
        <f t="shared" si="60"/>
        <v>-2.3513211355345636</v>
      </c>
      <c r="AV115" s="579">
        <f t="shared" si="60"/>
        <v>-2.3513211355345636</v>
      </c>
      <c r="AW115" s="579">
        <f t="shared" si="60"/>
        <v>-2.5222802147533812</v>
      </c>
      <c r="AX115" s="579">
        <f t="shared" si="60"/>
        <v>-2.3513211355345636</v>
      </c>
      <c r="AY115" s="579">
        <f t="shared" si="60"/>
        <v>-2.3513211355345636</v>
      </c>
      <c r="AZ115" s="579">
        <f t="shared" si="60"/>
        <v>-2.3513211355345636</v>
      </c>
      <c r="BA115" s="579">
        <f t="shared" si="60"/>
        <v>-2.5383076284301445</v>
      </c>
      <c r="BB115" s="579">
        <f t="shared" si="60"/>
        <v>-2.3513211355345636</v>
      </c>
      <c r="BC115" s="606">
        <f t="shared" si="60"/>
        <v>-2.3513211355345636</v>
      </c>
      <c r="BD115" s="579">
        <f t="shared" si="60"/>
        <v>-2.3513211355345636</v>
      </c>
      <c r="BE115" s="579">
        <f t="shared" si="60"/>
        <v>-2.5115952723022041</v>
      </c>
      <c r="BF115" s="579">
        <f t="shared" si="60"/>
        <v>-2.3513211355345636</v>
      </c>
      <c r="BG115" s="579">
        <f t="shared" si="60"/>
        <v>-2.3513211355345636</v>
      </c>
      <c r="BH115" s="579">
        <f t="shared" si="60"/>
        <v>-2.3513211355345636</v>
      </c>
      <c r="BI115" s="579">
        <f t="shared" si="60"/>
        <v>-3.0191300387330675</v>
      </c>
      <c r="BJ115" s="579">
        <f t="shared" si="60"/>
        <v>-2.3513211355345636</v>
      </c>
      <c r="BK115" s="579">
        <f t="shared" si="60"/>
        <v>-2.3513211355345636</v>
      </c>
      <c r="BL115" s="579">
        <f t="shared" si="60"/>
        <v>-2.3513211355345636</v>
      </c>
      <c r="BM115" s="579">
        <f t="shared" si="60"/>
        <v>-2.5115952723022041</v>
      </c>
      <c r="BN115" s="579">
        <f t="shared" si="60"/>
        <v>-2.3513211355345636</v>
      </c>
      <c r="BO115" s="579">
        <f t="shared" si="60"/>
        <v>-2.3513211355345636</v>
      </c>
      <c r="BP115" s="579">
        <f t="shared" si="60"/>
        <v>-2.3513211355345636</v>
      </c>
      <c r="BQ115" s="579">
        <f t="shared" si="60"/>
        <v>-2.5115952723022041</v>
      </c>
      <c r="BR115" s="579">
        <f t="shared" si="60"/>
        <v>-2.3513211355345636</v>
      </c>
      <c r="BS115" s="579">
        <f t="shared" si="60"/>
        <v>-2.3513211355345636</v>
      </c>
      <c r="BT115" s="579">
        <f t="shared" si="60"/>
        <v>-2.3513211355345636</v>
      </c>
      <c r="BU115" s="579">
        <f t="shared" si="60"/>
        <v>-2.5115952723022041</v>
      </c>
      <c r="BV115" s="579">
        <f t="shared" si="60"/>
        <v>-2.3513211355345636</v>
      </c>
      <c r="BW115" s="579">
        <f t="shared" si="60"/>
        <v>-2.3513211355345636</v>
      </c>
      <c r="BX115" s="579">
        <f t="shared" si="60"/>
        <v>-2.3513211355345636</v>
      </c>
      <c r="BY115" s="579">
        <f t="shared" si="60"/>
        <v>-2.5115952723022041</v>
      </c>
      <c r="BZ115" s="579">
        <f t="shared" si="60"/>
        <v>-2.3513211355345636</v>
      </c>
      <c r="CA115" s="579">
        <f t="shared" si="60"/>
        <v>-2.3513211355345636</v>
      </c>
      <c r="CB115" s="579">
        <f t="shared" si="60"/>
        <v>-2.3513211355345636</v>
      </c>
      <c r="CC115" s="579">
        <f t="shared" ref="CC115:CK115" si="61">-CC107</f>
        <v>-2.9924176826051272</v>
      </c>
      <c r="CD115" s="579">
        <f t="shared" si="61"/>
        <v>-2.3513211355345636</v>
      </c>
      <c r="CE115" s="579">
        <f t="shared" si="61"/>
        <v>-2.3513211355345636</v>
      </c>
      <c r="CF115" s="579">
        <f t="shared" si="61"/>
        <v>-2.3513211355345636</v>
      </c>
      <c r="CG115" s="579">
        <f t="shared" si="61"/>
        <v>-2.5115952723022041</v>
      </c>
      <c r="CH115" s="579">
        <f t="shared" si="61"/>
        <v>-2.1520237306843666</v>
      </c>
      <c r="CI115" s="579">
        <f t="shared" si="61"/>
        <v>-1.0760118653421833</v>
      </c>
      <c r="CJ115" s="579">
        <f t="shared" si="61"/>
        <v>0</v>
      </c>
      <c r="CK115" s="579">
        <f t="shared" si="61"/>
        <v>0</v>
      </c>
    </row>
    <row r="116" spans="2:89" s="442" customFormat="1" ht="15" customHeight="1">
      <c r="B116" s="582" t="s">
        <v>666</v>
      </c>
      <c r="C116" s="634">
        <f>5.985%</f>
        <v>5.985E-2</v>
      </c>
      <c r="D116" s="651">
        <f>SUM(F116:CK116)</f>
        <v>-589.1807161416906</v>
      </c>
      <c r="E116" s="558"/>
      <c r="F116" s="583">
        <f>IF((E119&lt;0),(E119*'2.  Scheme Wide'!$E$38*$C$116),0)</f>
        <v>0</v>
      </c>
      <c r="G116" s="583">
        <f>IF((F119&lt;0),(F119*'2.  Scheme Wide'!$E$38*$C$116),0)</f>
        <v>0</v>
      </c>
      <c r="H116" s="583">
        <f>IF((G119&lt;0),(G119*'2.  Scheme Wide'!$E$38*$C$116),0)</f>
        <v>0</v>
      </c>
      <c r="I116" s="583">
        <f>IF((H119&lt;0),(H119*'2.  Scheme Wide'!$E$38*$C$116),0)</f>
        <v>0</v>
      </c>
      <c r="J116" s="583">
        <f>IF((I119&lt;0),(I119*'2.  Scheme Wide'!$E$38*$C$116),0)</f>
        <v>0</v>
      </c>
      <c r="K116" s="583">
        <f>IF((J119&lt;0),(J119*'2.  Scheme Wide'!$E$38*$C$116),0)</f>
        <v>0</v>
      </c>
      <c r="L116" s="583">
        <f>IF((K119&lt;0),(K119*'2.  Scheme Wide'!$E$38*$C$116),0)</f>
        <v>0</v>
      </c>
      <c r="M116" s="583">
        <f>IF((L119&lt;0),(L119*'2.  Scheme Wide'!$E$38*$C$116),0)</f>
        <v>0</v>
      </c>
      <c r="N116" s="583">
        <f>IF((M119&lt;0),(M119*'2.  Scheme Wide'!$E$38*$C$116),0)</f>
        <v>0</v>
      </c>
      <c r="O116" s="583">
        <f>IF((N119&lt;0),(N119*'2.  Scheme Wide'!$E$38*$C$116),0)</f>
        <v>0</v>
      </c>
      <c r="P116" s="583">
        <f>IF((O119&lt;0),(O119*'2.  Scheme Wide'!$E$38*$C$116),0)</f>
        <v>0</v>
      </c>
      <c r="Q116" s="583">
        <f>IF((P119&lt;0),(P119*'2.  Scheme Wide'!$E$38*$C$116),0)</f>
        <v>-8.6297415749999995E-2</v>
      </c>
      <c r="R116" s="583">
        <f>IF((Q119&lt;0),(Q119*'2.  Scheme Wide'!$E$38*$C$116),0)</f>
        <v>-0.2643188925448976</v>
      </c>
      <c r="S116" s="583">
        <f>IF((R119&lt;0),(R119*'2.  Scheme Wide'!$E$38*$C$116),0)</f>
        <v>-0.74139820672545342</v>
      </c>
      <c r="T116" s="583">
        <f>IF((S119&lt;0),(S119*'2.  Scheme Wide'!$E$38*$C$116),0)</f>
        <v>-1.2387348182140736</v>
      </c>
      <c r="U116" s="583">
        <f>IF((T119&lt;0),(T119*'2.  Scheme Wide'!$E$38*$C$116),0)</f>
        <v>-2.6565556931822107</v>
      </c>
      <c r="V116" s="583">
        <f>IF((U119&lt;0),(U119*'2.  Scheme Wide'!$E$38*$C$116),0)</f>
        <v>-3.1215678571584373</v>
      </c>
      <c r="W116" s="583">
        <f>IF((V119&lt;0),(V119*'2.  Scheme Wide'!$E$38*$C$116),0)</f>
        <v>-4.8369993232573947</v>
      </c>
      <c r="X116" s="583">
        <f>IF((W119&lt;0),(W119*'2.  Scheme Wide'!$E$38*$C$116),0)</f>
        <v>-5.4797325249363391</v>
      </c>
      <c r="Y116" s="583">
        <f>IF((X119&lt;0),(X119*'2.  Scheme Wide'!$E$38*$C$116),0)</f>
        <v>-5.7338896072925509</v>
      </c>
      <c r="Z116" s="583">
        <f>IF((Y119&lt;0),(Y119*'2.  Scheme Wide'!$E$38*$C$116),0)</f>
        <v>-6.8113869397597115</v>
      </c>
      <c r="AA116" s="583">
        <f>IF((Z119&lt;0),(Z119*'2.  Scheme Wide'!$E$38*$C$116),0)</f>
        <v>-8.1065875609523559</v>
      </c>
      <c r="AB116" s="583">
        <f>IF((AA119&lt;0),(AA119*'2.  Scheme Wide'!$E$38*$C$116),0)</f>
        <v>-8.1338635045508099</v>
      </c>
      <c r="AC116" s="583">
        <f>IF((AB119&lt;0),(AB119*'2.  Scheme Wide'!$E$38*$C$116),0)</f>
        <v>-8.3373953260369493</v>
      </c>
      <c r="AD116" s="583">
        <f>IF((AC119&lt;0),(AC119*'2.  Scheme Wide'!$E$38*$C$116),0)</f>
        <v>-8.5453854279302792</v>
      </c>
      <c r="AE116" s="583">
        <f>IF((AD119&lt;0),(AD119*'2.  Scheme Wide'!$E$38*$C$116),0)</f>
        <v>-8.3964918365306787</v>
      </c>
      <c r="AF116" s="583">
        <f>IF((AE119&lt;0),(AE119*'2.  Scheme Wide'!$E$38*$C$116),0)</f>
        <v>-8.563796013334052</v>
      </c>
      <c r="AG116" s="583">
        <f>IF((AF119&lt;0),(AF119*'2.  Scheme Wide'!$E$38*$C$116),0)</f>
        <v>-8.4040342954708684</v>
      </c>
      <c r="AH116" s="583">
        <f>IF((AG119&lt;0),(AG119*'2.  Scheme Wide'!$E$38*$C$116),0)</f>
        <v>-8.8853377396848181</v>
      </c>
      <c r="AI116" s="583">
        <f>IF((AH119&lt;0),(AH119*'2.  Scheme Wide'!$E$38*$C$116),0)</f>
        <v>-10.021115664502979</v>
      </c>
      <c r="AJ116" s="583">
        <f>IF((AI119&lt;0),(AI119*'2.  Scheme Wide'!$E$38*$C$116),0)</f>
        <v>-9.9145835774104967</v>
      </c>
      <c r="AK116" s="583">
        <f>IF((AJ119&lt;0),(AJ119*'2.  Scheme Wide'!$E$38*$C$116),0)</f>
        <v>-9.4526264952572863</v>
      </c>
      <c r="AL116" s="583">
        <f>IF((AK119&lt;0),(AK119*'2.  Scheme Wide'!$E$38*$C$116),0)</f>
        <v>-9.7931981826284531</v>
      </c>
      <c r="AM116" s="583">
        <f>IF((AL119&lt;0),(AL119*'2.  Scheme Wide'!$E$38*$C$116),0)</f>
        <v>-9.8207311845975376</v>
      </c>
      <c r="AN116" s="583">
        <f>IF((AM119&lt;0),(AM119*'2.  Scheme Wide'!$E$38*$C$116),0)</f>
        <v>-9.5166710863827149</v>
      </c>
      <c r="AO116" s="583">
        <f>IF((AN119&lt;0),(AN119*'2.  Scheme Wide'!$E$38*$C$116),0)</f>
        <v>-10.174033941641492</v>
      </c>
      <c r="AP116" s="583">
        <f>IF((AO119&lt;0),(AO119*'2.  Scheme Wide'!$E$38*$C$116),0)</f>
        <v>-9.7837902275351851</v>
      </c>
      <c r="AQ116" s="583">
        <f>IF((AP119&lt;0),(AP119*'2.  Scheme Wide'!$E$38*$C$116),0)</f>
        <v>-11.53427373612619</v>
      </c>
      <c r="AR116" s="583">
        <f>IF((AQ119&lt;0),(AQ119*'2.  Scheme Wide'!$E$38*$C$116),0)</f>
        <v>-11.539266697308799</v>
      </c>
      <c r="AS116" s="583">
        <f>IF((AR119&lt;0),(AR119*'2.  Scheme Wide'!$E$38*$C$116),0)</f>
        <v>-11.467811899881504</v>
      </c>
      <c r="AT116" s="583">
        <f>IF((AS119&lt;0),(AS119*'2.  Scheme Wide'!$E$38*$C$116),0)</f>
        <v>-11.635727433719429</v>
      </c>
      <c r="AU116" s="583">
        <f>IF((AT119&lt;0),(AT119*'2.  Scheme Wide'!$E$38*$C$116),0)</f>
        <v>-11.564060811366311</v>
      </c>
      <c r="AV116" s="583">
        <f>IF((AU119&lt;0),(AU119*'2.  Scheme Wide'!$E$38*$C$116),0)</f>
        <v>-11.232668991313597</v>
      </c>
      <c r="AW116" s="583">
        <f>IF((AV119&lt;0),(AV119*'2.  Scheme Wide'!$E$38*$C$116),0)</f>
        <v>-11.214684321182487</v>
      </c>
      <c r="AX116" s="583">
        <f>IF((AW119&lt;0),(AW119*'2.  Scheme Wide'!$E$38*$C$116),0)</f>
        <v>-10.948500169435277</v>
      </c>
      <c r="AY116" s="583">
        <f>IF((AX119&lt;0),(AX119*'2.  Scheme Wide'!$E$38*$C$116),0)</f>
        <v>-10.769867995314751</v>
      </c>
      <c r="AZ116" s="583">
        <f>IF((AY119&lt;0),(AY119*'2.  Scheme Wide'!$E$38*$C$116),0)</f>
        <v>-11.601252656641329</v>
      </c>
      <c r="BA116" s="583">
        <f>IF((AZ119&lt;0),(AZ119*'2.  Scheme Wide'!$E$38*$C$116),0)</f>
        <v>-11.725027718880085</v>
      </c>
      <c r="BB116" s="583">
        <f>IF((BA119&lt;0),(BA119*'2.  Scheme Wide'!$E$38*$C$116),0)</f>
        <v>-11.837476860193631</v>
      </c>
      <c r="BC116" s="607">
        <f>IF((BB119&lt;0),(BB119*'2.  Scheme Wide'!$E$38*$C$116),0)</f>
        <v>-11.580379941014993</v>
      </c>
      <c r="BD116" s="583">
        <f>IF((BC119&lt;0),(BC119*'2.  Scheme Wide'!$E$38*$C$116),0)</f>
        <v>-11.260618481776277</v>
      </c>
      <c r="BE116" s="583">
        <f>IF((BD119&lt;0),(BD119*'2.  Scheme Wide'!$E$38*$C$116),0)</f>
        <v>-11.06475658864936</v>
      </c>
      <c r="BF116" s="583">
        <f>IF((BE119&lt;0),(BE119*'2.  Scheme Wide'!$E$38*$C$116),0)</f>
        <v>-10.836839768304339</v>
      </c>
      <c r="BG116" s="583">
        <f>IF((BF119&lt;0),(BF119*'2.  Scheme Wide'!$E$38*$C$116),0)</f>
        <v>-10.908879719176126</v>
      </c>
      <c r="BH116" s="583">
        <f>IF((BG119&lt;0),(BG119*'2.  Scheme Wide'!$E$38*$C$116),0)</f>
        <v>-10.672817870152816</v>
      </c>
      <c r="BI116" s="583">
        <f>IF((BH119&lt;0),(BH119*'2.  Scheme Wide'!$E$38*$C$116),0)</f>
        <v>-10.537536110420234</v>
      </c>
      <c r="BJ116" s="583">
        <f>IF((BI119&lt;0),(BI119*'2.  Scheme Wide'!$E$38*$C$116),0)</f>
        <v>-10.332381100224087</v>
      </c>
      <c r="BK116" s="583">
        <f>IF((BJ119&lt;0),(BJ119*'2.  Scheme Wide'!$E$38*$C$116),0)</f>
        <v>-10.039069199811271</v>
      </c>
      <c r="BL116" s="583">
        <f>IF((BK119&lt;0),(BK119*'2.  Scheme Wide'!$E$38*$C$116),0)</f>
        <v>-9.2823351198471897</v>
      </c>
      <c r="BM116" s="583">
        <f>IF((BL119&lt;0),(BL119*'2.  Scheme Wide'!$E$38*$C$116),0)</f>
        <v>-8.7765529675088167</v>
      </c>
      <c r="BN116" s="583">
        <f>IF((BM119&lt;0),(BM119*'2.  Scheme Wide'!$E$38*$C$116),0)</f>
        <v>-8.7767721604385347</v>
      </c>
      <c r="BO116" s="583">
        <f>IF((BN119&lt;0),(BN119*'2.  Scheme Wide'!$E$38*$C$116),0)</f>
        <v>-8.8691570649795519</v>
      </c>
      <c r="BP116" s="583">
        <f>IF((BO119&lt;0),(BO119*'2.  Scheme Wide'!$E$38*$C$116),0)</f>
        <v>-8.3673778151025768</v>
      </c>
      <c r="BQ116" s="583">
        <f>IF((BP119&lt;0),(BP119*'2.  Scheme Wide'!$E$38*$C$116),0)</f>
        <v>-7.7529704680752394</v>
      </c>
      <c r="BR116" s="583">
        <f>IF((BQ119&lt;0),(BQ119*'2.  Scheme Wide'!$E$38*$C$116),0)</f>
        <v>-8.6456455850231109</v>
      </c>
      <c r="BS116" s="583">
        <f>IF((BR119&lt;0),(BR119*'2.  Scheme Wide'!$E$38*$C$116),0)</f>
        <v>-8.3172175640255173</v>
      </c>
      <c r="BT116" s="583">
        <f>IF((BS119&lt;0),(BS119*'2.  Scheme Wide'!$E$38*$C$116),0)</f>
        <v>-8.123549735016443</v>
      </c>
      <c r="BU116" s="583">
        <f>IF((BT119&lt;0),(BT119*'2.  Scheme Wide'!$E$38*$C$116),0)</f>
        <v>-7.9793342773959495</v>
      </c>
      <c r="BV116" s="583">
        <f>IF((BU119&lt;0),(BU119*'2.  Scheme Wide'!$E$38*$C$116),0)</f>
        <v>-8.6451573244566653</v>
      </c>
      <c r="BW116" s="583">
        <f>IF((BV119&lt;0),(BV119*'2.  Scheme Wide'!$E$38*$C$116),0)</f>
        <v>-8.9870200810641698</v>
      </c>
      <c r="BX116" s="583">
        <f>IF((BW119&lt;0),(BW119*'2.  Scheme Wide'!$E$38*$C$116),0)</f>
        <v>-8.6060099326998571</v>
      </c>
      <c r="BY116" s="583">
        <f>IF((BX119&lt;0),(BX119*'2.  Scheme Wide'!$E$38*$C$116),0)</f>
        <v>-8.0477797179107178</v>
      </c>
      <c r="BZ116" s="583">
        <f>IF((BY119&lt;0),(BY119*'2.  Scheme Wide'!$E$38*$C$116),0)</f>
        <v>-7.6692218318519894</v>
      </c>
      <c r="CA116" s="583">
        <f>IF((BZ119&lt;0),(BZ119*'2.  Scheme Wide'!$E$38*$C$116),0)</f>
        <v>-7.3781148492271038</v>
      </c>
      <c r="CB116" s="583">
        <f>IF((CA119&lt;0),(CA119*'2.  Scheme Wide'!$E$38*$C$116),0)</f>
        <v>-7.2419567227373447</v>
      </c>
      <c r="CC116" s="583">
        <f>IF((CB119&lt;0),(CB119*'2.  Scheme Wide'!$E$38*$C$116),0)</f>
        <v>-6.835502923331946</v>
      </c>
      <c r="CD116" s="583">
        <f>IF((CC119&lt;0),(CC119*'2.  Scheme Wide'!$E$38*$C$116),0)</f>
        <v>-6.3832424923743094</v>
      </c>
      <c r="CE116" s="583">
        <f>IF((CD119&lt;0),(CD119*'2.  Scheme Wide'!$E$38*$C$116),0)</f>
        <v>-5.6680396462816836</v>
      </c>
      <c r="CF116" s="583">
        <f>IF((CE119&lt;0),(CE119*'2.  Scheme Wide'!$E$38*$C$116),0)</f>
        <v>-4.6658583460313192</v>
      </c>
      <c r="CG116" s="583">
        <f>IF((CF119&lt;0),(CF119*'2.  Scheme Wide'!$E$38*$C$116),0)</f>
        <v>-4.0094650587800658</v>
      </c>
      <c r="CH116" s="583">
        <f>IF((CG119&lt;0),(CG119*'2.  Scheme Wide'!$E$38*$C$116),0)</f>
        <v>-3.6106590403723682</v>
      </c>
      <c r="CI116" s="583">
        <f>IF((CH119&lt;0),(CH119*'2.  Scheme Wide'!$E$38*$C$116),0)</f>
        <v>-3.0048691249971426</v>
      </c>
      <c r="CJ116" s="583">
        <f>IF((CI119&lt;0),(CI119*'2.  Scheme Wide'!$E$38*$C$116),0)</f>
        <v>-1.8782799820912064</v>
      </c>
      <c r="CK116" s="583">
        <f>IF((CJ119&lt;0),(CJ119*'2.  Scheme Wide'!$E$38*$C$116),0)</f>
        <v>-0.53420489590872666</v>
      </c>
    </row>
    <row r="117" spans="2:89" s="442" customFormat="1" ht="15" customHeight="1">
      <c r="B117" s="582" t="s">
        <v>664</v>
      </c>
      <c r="C117" s="577"/>
      <c r="D117" s="651">
        <f>SUM(F117:CK117)</f>
        <v>-3.3516059849121937</v>
      </c>
      <c r="E117" s="97"/>
      <c r="F117" s="340">
        <f>IF(F96&lt;0,(((F96*'2.  Scheme Wide'!$E$38)*$C$116)*0.5),0)</f>
        <v>0</v>
      </c>
      <c r="G117" s="340">
        <f>IF(G96&lt;0,(((G96*'2.  Scheme Wide'!$E$38)*$C$116)*0.5),0)</f>
        <v>0</v>
      </c>
      <c r="H117" s="340">
        <f>IF(H96&lt;0,(((H96*'2.  Scheme Wide'!$E$38)*$C$116)*0.5),0)</f>
        <v>0</v>
      </c>
      <c r="I117" s="340">
        <f>IF(I96&lt;0,(((I96*'2.  Scheme Wide'!$E$38)*$C$116)*0.5),0)</f>
        <v>0</v>
      </c>
      <c r="J117" s="340">
        <f>IF(J96&lt;0,(((J96*'2.  Scheme Wide'!$E$38)*$C$116)*0.5),0)</f>
        <v>0</v>
      </c>
      <c r="K117" s="340">
        <f>IF(K96&lt;0,(((K96*'2.  Scheme Wide'!$E$38)*$C$116)*0.5),0)</f>
        <v>0</v>
      </c>
      <c r="L117" s="340">
        <f>IF(L96&lt;0,(((L96*'2.  Scheme Wide'!$E$38)*$C$116)*0.5),0)</f>
        <v>0</v>
      </c>
      <c r="M117" s="340">
        <f>IF(M96&lt;0,(((M96*'2.  Scheme Wide'!$E$38)*$C$116)*0.5),0)</f>
        <v>0</v>
      </c>
      <c r="N117" s="340">
        <f>IF(N96&lt;0,(((N96*'2.  Scheme Wide'!$E$38)*$C$116)*0.5),0)</f>
        <v>0</v>
      </c>
      <c r="O117" s="340">
        <f>IF(O96&lt;0,(((O96*'2.  Scheme Wide'!$E$38)*$C$116)*0.5),0)</f>
        <v>0</v>
      </c>
      <c r="P117" s="584">
        <f>IF(P96&lt;0,(((P96*'2.  Scheme Wide'!$E$38)*$C$116)*0.5),0)</f>
        <v>-4.1894999999999995E-2</v>
      </c>
      <c r="Q117" s="584">
        <f>IF(Q96&lt;0,(((Q96*'2.  Scheme Wide'!$E$38)*$C$116)*0.5),0)</f>
        <v>-4.1894999999999995E-2</v>
      </c>
      <c r="R117" s="584">
        <f>IF(R96&lt;0,(((R96*'2.  Scheme Wide'!$E$38)*$C$116)*0.5),0)</f>
        <v>-0.15561</v>
      </c>
      <c r="S117" s="584">
        <f>IF(S96&lt;0,(((S96*'2.  Scheme Wide'!$E$38)*$C$116)*0.5),0)</f>
        <v>-0.15158257099029449</v>
      </c>
      <c r="T117" s="584">
        <f>IF(T96&lt;0,(((T96*'2.  Scheme Wide'!$E$38)*$C$116)*0.5),0)</f>
        <v>-0.58400176038851437</v>
      </c>
      <c r="U117" s="584">
        <f>IF(U96&lt;0,(((U96*'2.  Scheme Wide'!$E$38)*$C$116)*0.5),0)</f>
        <v>-7.527676038851433E-2</v>
      </c>
      <c r="V117" s="584">
        <f>IF(V96&lt;0,(((V96*'2.  Scheme Wide'!$E$38)*$C$116)*0.5),0)</f>
        <v>-0.67377676038851431</v>
      </c>
      <c r="W117" s="584">
        <f>IF(W96&lt;0,(((W96*'2.  Scheme Wide'!$E$38)*$C$116)*0.5),0)</f>
        <v>-0.10316878521263477</v>
      </c>
      <c r="X117" s="584">
        <f>IF(X96&lt;0,(((X96*'2.  Scheme Wide'!$E$38)*$C$116)*0.5),0)</f>
        <v>0</v>
      </c>
      <c r="Y117" s="584">
        <f>IF(Y96&lt;0,(((Y96*'2.  Scheme Wide'!$E$38)*$C$116)*0.5),0)</f>
        <v>-0.26380426038851423</v>
      </c>
      <c r="Z117" s="584">
        <f>IF(Z96&lt;0,(((Z96*'2.  Scheme Wide'!$E$38)*$C$116)*0.5),0)</f>
        <v>-0.36255676038851437</v>
      </c>
      <c r="AA117" s="584">
        <f>IF(AA96&lt;0,(((AA96*'2.  Scheme Wide'!$E$38)*$C$116)*0.5),0)</f>
        <v>0</v>
      </c>
      <c r="AB117" s="584">
        <f>IF(AB96&lt;0,(((AB96*'2.  Scheme Wide'!$E$38)*$C$116)*0.5),0)</f>
        <v>0</v>
      </c>
      <c r="AC117" s="584">
        <f>IF(AC96&lt;0,(((AC96*'2.  Scheme Wide'!$E$38)*$C$116)*0.5),0)</f>
        <v>0</v>
      </c>
      <c r="AD117" s="584">
        <f>IF(AD96&lt;0,(((AD96*'2.  Scheme Wide'!$E$38)*$C$116)*0.5),0)</f>
        <v>0</v>
      </c>
      <c r="AE117" s="584">
        <f>IF(AE96&lt;0,(((AE96*'2.  Scheme Wide'!$E$38)*$C$116)*0.5),0)</f>
        <v>0</v>
      </c>
      <c r="AF117" s="584">
        <f>IF(AF96&lt;0,(((AF96*'2.  Scheme Wide'!$E$38)*$C$116)*0.5),0)</f>
        <v>0</v>
      </c>
      <c r="AG117" s="584">
        <f>IF(AG96&lt;0,(((AG96*'2.  Scheme Wide'!$E$38)*$C$116)*0.5),0)</f>
        <v>0</v>
      </c>
      <c r="AH117" s="584">
        <f>IF(AH96&lt;0,(((AH96*'2.  Scheme Wide'!$E$38)*$C$116)*0.5),0)</f>
        <v>-0.22490176038851434</v>
      </c>
      <c r="AI117" s="584">
        <f>IF(AI96&lt;0,(((AI96*'2.  Scheme Wide'!$E$38)*$C$116)*0.5),0)</f>
        <v>0</v>
      </c>
      <c r="AJ117" s="584">
        <f>IF(AJ96&lt;0,(((AJ96*'2.  Scheme Wide'!$E$38)*$C$116)*0.5),0)</f>
        <v>0</v>
      </c>
      <c r="AK117" s="584">
        <f>IF(AK96&lt;0,(((AK96*'2.  Scheme Wide'!$E$38)*$C$116)*0.5),0)</f>
        <v>0</v>
      </c>
      <c r="AL117" s="584">
        <f>IF(AL96&lt;0,(((AL96*'2.  Scheme Wide'!$E$38)*$C$116)*0.5),0)</f>
        <v>0</v>
      </c>
      <c r="AM117" s="584">
        <f>IF(AM96&lt;0,(((AM96*'2.  Scheme Wide'!$E$38)*$C$116)*0.5),0)</f>
        <v>0</v>
      </c>
      <c r="AN117" s="584">
        <f>IF(AN96&lt;0,(((AN96*'2.  Scheme Wide'!$E$38)*$C$116)*0.5),0)</f>
        <v>0</v>
      </c>
      <c r="AO117" s="584">
        <f>IF(AO96&lt;0,(((AO96*'2.  Scheme Wide'!$E$38)*$C$116)*0.5),0)</f>
        <v>0</v>
      </c>
      <c r="AP117" s="584">
        <f>IF(AP96&lt;0,(((AP96*'2.  Scheme Wide'!$E$38)*$C$116)*0.5),0)</f>
        <v>-0.49721926038851438</v>
      </c>
      <c r="AQ117" s="584">
        <f>IF(AQ96&lt;0,(((AQ96*'2.  Scheme Wide'!$E$38)*$C$116)*0.5),0)</f>
        <v>0</v>
      </c>
      <c r="AR117" s="584">
        <f>IF(AR96&lt;0,(((AR96*'2.  Scheme Wide'!$E$38)*$C$116)*0.5),0)</f>
        <v>0</v>
      </c>
      <c r="AS117" s="584">
        <f>IF(AS96&lt;0,(((AS96*'2.  Scheme Wide'!$E$38)*$C$116)*0.5),0)</f>
        <v>0</v>
      </c>
      <c r="AT117" s="584">
        <f>IF(AT96&lt;0,(((AT96*'2.  Scheme Wide'!$E$38)*$C$116)*0.5),0)</f>
        <v>0</v>
      </c>
      <c r="AU117" s="584">
        <f>IF(AU96&lt;0,(((AU96*'2.  Scheme Wide'!$E$38)*$C$116)*0.5),0)</f>
        <v>0</v>
      </c>
      <c r="AV117" s="584">
        <f>IF(AV96&lt;0,(((AV96*'2.  Scheme Wide'!$E$38)*$C$116)*0.5),0)</f>
        <v>0</v>
      </c>
      <c r="AW117" s="584">
        <f>IF(AW96&lt;0,(((AW96*'2.  Scheme Wide'!$E$38)*$C$116)*0.5),0)</f>
        <v>0</v>
      </c>
      <c r="AX117" s="584">
        <f>IF(AX96&lt;0,(((AX96*'2.  Scheme Wide'!$E$38)*$C$116)*0.5),0)</f>
        <v>0</v>
      </c>
      <c r="AY117" s="584">
        <f>IF(AY96&lt;0,(((AY96*'2.  Scheme Wide'!$E$38)*$C$116)*0.5),0)</f>
        <v>-2.2371285212634894E-2</v>
      </c>
      <c r="AZ117" s="584">
        <f>IF(AZ96&lt;0,(((AZ96*'2.  Scheme Wide'!$E$38)*$C$116)*0.5),0)</f>
        <v>0</v>
      </c>
      <c r="BA117" s="584">
        <f>IF(BA96&lt;0,(((BA96*'2.  Scheme Wide'!$E$38)*$C$116)*0.5),0)</f>
        <v>0</v>
      </c>
      <c r="BB117" s="584">
        <f>IF(BB96&lt;0,(((BB96*'2.  Scheme Wide'!$E$38)*$C$116)*0.5),0)</f>
        <v>0</v>
      </c>
      <c r="BC117" s="608">
        <f>IF(BC96&lt;0,(((BC96*'2.  Scheme Wide'!$E$38)*$C$116)*0.5),0)</f>
        <v>0</v>
      </c>
      <c r="BD117" s="584">
        <f>IF(BD96&lt;0,(((BD96*'2.  Scheme Wide'!$E$38)*$C$116)*0.5),0)</f>
        <v>0</v>
      </c>
      <c r="BE117" s="584">
        <f>IF(BE96&lt;0,(((BE96*'2.  Scheme Wide'!$E$38)*$C$116)*0.5),0)</f>
        <v>0</v>
      </c>
      <c r="BF117" s="584">
        <f>IF(BF96&lt;0,(((BF96*'2.  Scheme Wide'!$E$38)*$C$116)*0.5),0)</f>
        <v>0</v>
      </c>
      <c r="BG117" s="584">
        <f>IF(BG96&lt;0,(((BG96*'2.  Scheme Wide'!$E$38)*$C$116)*0.5),0)</f>
        <v>0</v>
      </c>
      <c r="BH117" s="584">
        <f>IF(BH96&lt;0,(((BH96*'2.  Scheme Wide'!$E$38)*$C$116)*0.5),0)</f>
        <v>0</v>
      </c>
      <c r="BI117" s="584">
        <f>IF(BI96&lt;0,(((BI96*'2.  Scheme Wide'!$E$38)*$C$116)*0.5),0)</f>
        <v>0</v>
      </c>
      <c r="BJ117" s="584">
        <f>IF(BJ96&lt;0,(((BJ96*'2.  Scheme Wide'!$E$38)*$C$116)*0.5),0)</f>
        <v>0</v>
      </c>
      <c r="BK117" s="584">
        <f>IF(BK96&lt;0,(((BK96*'2.  Scheme Wide'!$E$38)*$C$116)*0.5),0)</f>
        <v>0</v>
      </c>
      <c r="BL117" s="584">
        <f>IF(BL96&lt;0,(((BL96*'2.  Scheme Wide'!$E$38)*$C$116)*0.5),0)</f>
        <v>0</v>
      </c>
      <c r="BM117" s="584">
        <f>IF(BM96&lt;0,(((BM96*'2.  Scheme Wide'!$E$38)*$C$116)*0.5),0)</f>
        <v>0</v>
      </c>
      <c r="BN117" s="584">
        <f>IF(BN96&lt;0,(((BN96*'2.  Scheme Wide'!$E$38)*$C$116)*0.5),0)</f>
        <v>0</v>
      </c>
      <c r="BO117" s="584">
        <f>IF(BO96&lt;0,(((BO96*'2.  Scheme Wide'!$E$38)*$C$116)*0.5),0)</f>
        <v>0</v>
      </c>
      <c r="BP117" s="584">
        <f>IF(BP96&lt;0,(((BP96*'2.  Scheme Wide'!$E$38)*$C$116)*0.5),0)</f>
        <v>0</v>
      </c>
      <c r="BQ117" s="584">
        <f>IF(BQ96&lt;0,(((BQ96*'2.  Scheme Wide'!$E$38)*$C$116)*0.5),0)</f>
        <v>-0.13512676038851432</v>
      </c>
      <c r="BR117" s="584">
        <f>IF(BR96&lt;0,(((BR96*'2.  Scheme Wide'!$E$38)*$C$116)*0.5),0)</f>
        <v>0</v>
      </c>
      <c r="BS117" s="584">
        <f>IF(BS96&lt;0,(((BS96*'2.  Scheme Wide'!$E$38)*$C$116)*0.5),0)</f>
        <v>0</v>
      </c>
      <c r="BT117" s="584">
        <f>IF(BT96&lt;0,(((BT96*'2.  Scheme Wide'!$E$38)*$C$116)*0.5),0)</f>
        <v>0</v>
      </c>
      <c r="BU117" s="584">
        <f>IF(BU96&lt;0,(((BU96*'2.  Scheme Wide'!$E$38)*$C$116)*0.5),0)</f>
        <v>-1.8419260388514366E-2</v>
      </c>
      <c r="BV117" s="584">
        <f>IF(BV96&lt;0,(((BV96*'2.  Scheme Wide'!$E$38)*$C$116)*0.5),0)</f>
        <v>0</v>
      </c>
      <c r="BW117" s="584">
        <f>IF(BW96&lt;0,(((BW96*'2.  Scheme Wide'!$E$38)*$C$116)*0.5),0)</f>
        <v>0</v>
      </c>
      <c r="BX117" s="584">
        <f>IF(BX96&lt;0,(((BX96*'2.  Scheme Wide'!$E$38)*$C$116)*0.5),0)</f>
        <v>0</v>
      </c>
      <c r="BY117" s="584">
        <f>IF(BY96&lt;0,(((BY96*'2.  Scheme Wide'!$E$38)*$C$116)*0.5),0)</f>
        <v>0</v>
      </c>
      <c r="BZ117" s="584">
        <f>IF(BZ96&lt;0,(((BZ96*'2.  Scheme Wide'!$E$38)*$C$116)*0.5),0)</f>
        <v>0</v>
      </c>
      <c r="CA117" s="584">
        <f>IF(CA96&lt;0,(((CA96*'2.  Scheme Wide'!$E$38)*$C$116)*0.5),0)</f>
        <v>0</v>
      </c>
      <c r="CB117" s="584">
        <f>IF(CB96&lt;0,(((CB96*'2.  Scheme Wide'!$E$38)*$C$116)*0.5),0)</f>
        <v>0</v>
      </c>
      <c r="CC117" s="584">
        <f>IF(CC96&lt;0,(((CC96*'2.  Scheme Wide'!$E$38)*$C$116)*0.5),0)</f>
        <v>0</v>
      </c>
      <c r="CD117" s="584">
        <f>IF(CD96&lt;0,(((CD96*'2.  Scheme Wide'!$E$38)*$C$116)*0.5),0)</f>
        <v>0</v>
      </c>
      <c r="CE117" s="584">
        <f>IF(CE96&lt;0,(((CE96*'2.  Scheme Wide'!$E$38)*$C$116)*0.5),0)</f>
        <v>0</v>
      </c>
      <c r="CF117" s="584">
        <f>IF(CF96&lt;0,(((CF96*'2.  Scheme Wide'!$E$38)*$C$116)*0.5),0)</f>
        <v>0</v>
      </c>
      <c r="CG117" s="584">
        <f>IF(CG96&lt;0,(((CG96*'2.  Scheme Wide'!$E$38)*$C$116)*0.5),0)</f>
        <v>0</v>
      </c>
      <c r="CH117" s="584">
        <f>IF(CH96&lt;0,(((CH96*'2.  Scheme Wide'!$E$38)*$C$116)*0.5),0)</f>
        <v>0</v>
      </c>
      <c r="CI117" s="584">
        <f>IF(CI96&lt;0,(((CI96*'2.  Scheme Wide'!$E$38)*$C$116)*0.5),0)</f>
        <v>0</v>
      </c>
      <c r="CJ117" s="584">
        <f>IF(CJ96&lt;0,(((CJ96*'2.  Scheme Wide'!$E$38)*$C$116)*0.5),0)</f>
        <v>0</v>
      </c>
      <c r="CK117" s="584">
        <f>IF(CK96&lt;0,(((CK96*'2.  Scheme Wide'!$E$38)*$C$116)*0.5),0)</f>
        <v>0</v>
      </c>
    </row>
    <row r="118" spans="2:89" s="442" customFormat="1" ht="15" customHeight="1" thickBot="1">
      <c r="B118" s="576" t="s">
        <v>659</v>
      </c>
      <c r="C118" s="577"/>
      <c r="D118" s="649">
        <f>SUM(F118:CK118)</f>
        <v>-0.24209669797066979</v>
      </c>
      <c r="E118" s="95"/>
      <c r="F118" s="588"/>
      <c r="G118" s="588"/>
      <c r="H118" s="588"/>
      <c r="I118" s="588"/>
      <c r="J118" s="588"/>
      <c r="K118" s="588"/>
      <c r="L118" s="588"/>
      <c r="M118" s="588"/>
      <c r="N118" s="588"/>
      <c r="O118" s="588"/>
      <c r="P118" s="588">
        <f>SUM(P113:P117)</f>
        <v>-1.4418949999999999</v>
      </c>
      <c r="Q118" s="588">
        <f t="shared" ref="Q118:CB118" si="62">SUM(Q113:Q117)</f>
        <v>-2.9744607651611958</v>
      </c>
      <c r="R118" s="588">
        <f t="shared" si="62"/>
        <v>-7.9712500280794618</v>
      </c>
      <c r="S118" s="588">
        <f t="shared" si="62"/>
        <v>-8.3097178193587311</v>
      </c>
      <c r="T118" s="588">
        <f t="shared" si="62"/>
        <v>-23.689571845749995</v>
      </c>
      <c r="U118" s="588">
        <f t="shared" si="62"/>
        <v>-7.7696267999369502</v>
      </c>
      <c r="V118" s="588">
        <f t="shared" si="62"/>
        <v>-28.662179884694361</v>
      </c>
      <c r="W118" s="588">
        <f t="shared" si="62"/>
        <v>-10.739067697225471</v>
      </c>
      <c r="X118" s="588">
        <f t="shared" si="62"/>
        <v>-4.2465677920837441</v>
      </c>
      <c r="Y118" s="588">
        <f t="shared" si="62"/>
        <v>-18.00329711724579</v>
      </c>
      <c r="Z118" s="588">
        <f t="shared" si="62"/>
        <v>-21.640778967295635</v>
      </c>
      <c r="AA118" s="588">
        <f t="shared" si="62"/>
        <v>-0.45573840598921045</v>
      </c>
      <c r="AB118" s="588">
        <f t="shared" si="62"/>
        <v>-3.4006987716982149</v>
      </c>
      <c r="AC118" s="588">
        <f t="shared" si="62"/>
        <v>-3.4751896724031752</v>
      </c>
      <c r="AD118" s="588">
        <f t="shared" si="62"/>
        <v>2.4877793049223147</v>
      </c>
      <c r="AE118" s="588">
        <f t="shared" si="62"/>
        <v>-2.7953914252861214</v>
      </c>
      <c r="AF118" s="588">
        <f t="shared" si="62"/>
        <v>2.6693687195185412</v>
      </c>
      <c r="AG118" s="588">
        <f t="shared" si="62"/>
        <v>-8.0418286418370943</v>
      </c>
      <c r="AH118" s="588">
        <f t="shared" si="62"/>
        <v>-18.977074767220738</v>
      </c>
      <c r="AI118" s="588">
        <f t="shared" si="62"/>
        <v>1.7799847467415777</v>
      </c>
      <c r="AJ118" s="588">
        <f t="shared" si="62"/>
        <v>7.7185811554420951</v>
      </c>
      <c r="AK118" s="588">
        <f t="shared" si="62"/>
        <v>-5.69042084162351</v>
      </c>
      <c r="AL118" s="588">
        <f t="shared" si="62"/>
        <v>-0.46003344977586025</v>
      </c>
      <c r="AM118" s="588">
        <f t="shared" si="62"/>
        <v>5.0803692266470168</v>
      </c>
      <c r="AN118" s="588">
        <f t="shared" si="62"/>
        <v>-10.983506353530123</v>
      </c>
      <c r="AO118" s="588">
        <f t="shared" si="62"/>
        <v>6.5203628087937826</v>
      </c>
      <c r="AP118" s="588">
        <f t="shared" si="62"/>
        <v>-29.24784475507111</v>
      </c>
      <c r="AQ118" s="588">
        <f t="shared" si="62"/>
        <v>-8.3424581163043854E-2</v>
      </c>
      <c r="AR118" s="588">
        <f t="shared" si="62"/>
        <v>1.1938980355437945</v>
      </c>
      <c r="AS118" s="588">
        <f t="shared" si="62"/>
        <v>-2.8056062462477289</v>
      </c>
      <c r="AT118" s="588">
        <f t="shared" si="62"/>
        <v>1.1974372991331634</v>
      </c>
      <c r="AU118" s="588">
        <f t="shared" si="62"/>
        <v>5.5370395998782485</v>
      </c>
      <c r="AV118" s="588">
        <f t="shared" si="62"/>
        <v>0.30049574153899705</v>
      </c>
      <c r="AW118" s="588">
        <f t="shared" si="62"/>
        <v>4.4475213324512879</v>
      </c>
      <c r="AX118" s="588">
        <f t="shared" si="62"/>
        <v>2.9846645634173168</v>
      </c>
      <c r="AY118" s="588">
        <f t="shared" si="62"/>
        <v>-13.891138869282832</v>
      </c>
      <c r="AZ118" s="588">
        <f t="shared" si="62"/>
        <v>-2.0680879237887364</v>
      </c>
      <c r="BA118" s="588">
        <f t="shared" si="62"/>
        <v>-1.8788494789230743</v>
      </c>
      <c r="BB118" s="588">
        <f t="shared" si="62"/>
        <v>4.2956878726589611</v>
      </c>
      <c r="BC118" s="616">
        <f t="shared" si="62"/>
        <v>5.3427144400788045</v>
      </c>
      <c r="BD118" s="587">
        <f t="shared" si="62"/>
        <v>3.272546251076319</v>
      </c>
      <c r="BE118" s="587">
        <f t="shared" si="62"/>
        <v>3.808134007435596</v>
      </c>
      <c r="BF118" s="587">
        <f t="shared" si="62"/>
        <v>-1.2036750354517451</v>
      </c>
      <c r="BG118" s="587">
        <f t="shared" si="62"/>
        <v>3.9442247121689284</v>
      </c>
      <c r="BH118" s="587">
        <f t="shared" si="62"/>
        <v>2.2603468626997785</v>
      </c>
      <c r="BI118" s="587">
        <f t="shared" si="62"/>
        <v>3.427819719233856</v>
      </c>
      <c r="BJ118" s="587">
        <f t="shared" si="62"/>
        <v>4.9007836326285048</v>
      </c>
      <c r="BK118" s="587">
        <f t="shared" si="62"/>
        <v>12.643844276759909</v>
      </c>
      <c r="BL118" s="587">
        <f t="shared" si="62"/>
        <v>8.4508296130054035</v>
      </c>
      <c r="BM118" s="587">
        <f t="shared" si="62"/>
        <v>-3.6623714238626093E-3</v>
      </c>
      <c r="BN118" s="587">
        <f t="shared" si="62"/>
        <v>-1.5436074275859397</v>
      </c>
      <c r="BO118" s="587">
        <f t="shared" si="62"/>
        <v>8.383947366365506</v>
      </c>
      <c r="BP118" s="587">
        <f t="shared" si="62"/>
        <v>10.265786917750015</v>
      </c>
      <c r="BQ118" s="587">
        <f t="shared" si="62"/>
        <v>-14.9152066323788</v>
      </c>
      <c r="BR118" s="587">
        <f t="shared" si="62"/>
        <v>5.4875191478294827</v>
      </c>
      <c r="BS118" s="587">
        <f t="shared" si="62"/>
        <v>3.235886867319536</v>
      </c>
      <c r="BT118" s="587">
        <f t="shared" si="62"/>
        <v>2.4096149978361492</v>
      </c>
      <c r="BU118" s="587">
        <f t="shared" si="62"/>
        <v>-11.124862941699512</v>
      </c>
      <c r="BV118" s="587">
        <f t="shared" si="62"/>
        <v>-5.711992591604071</v>
      </c>
      <c r="BW118" s="587">
        <f t="shared" si="62"/>
        <v>6.3660843502808842</v>
      </c>
      <c r="BX118" s="587">
        <f t="shared" si="62"/>
        <v>9.3271548001527389</v>
      </c>
      <c r="BY118" s="587">
        <f t="shared" si="62"/>
        <v>6.3251108781742378</v>
      </c>
      <c r="BZ118" s="587">
        <f t="shared" si="62"/>
        <v>4.8639429010006046</v>
      </c>
      <c r="CA118" s="587">
        <f t="shared" si="62"/>
        <v>2.2749895821179509</v>
      </c>
      <c r="CB118" s="587">
        <f t="shared" si="62"/>
        <v>6.791208010115251</v>
      </c>
      <c r="CC118" s="587">
        <f t="shared" ref="CC118:CK118" si="63">SUM(CC113:CC117)</f>
        <v>7.5565652624500856</v>
      </c>
      <c r="CD118" s="587">
        <f t="shared" si="63"/>
        <v>11.949922240478285</v>
      </c>
      <c r="CE118" s="587">
        <f t="shared" si="63"/>
        <v>16.744883880540762</v>
      </c>
      <c r="CF118" s="587">
        <f t="shared" si="63"/>
        <v>10.967306386821274</v>
      </c>
      <c r="CG118" s="587">
        <f t="shared" si="63"/>
        <v>6.663425537304887</v>
      </c>
      <c r="CH118" s="587">
        <f t="shared" si="63"/>
        <v>10.121803097330423</v>
      </c>
      <c r="CI118" s="587">
        <f t="shared" si="63"/>
        <v>18.823544576540289</v>
      </c>
      <c r="CJ118" s="587">
        <f t="shared" si="63"/>
        <v>22.457394923683871</v>
      </c>
      <c r="CK118" s="587">
        <f t="shared" si="63"/>
        <v>8.6836325569788144</v>
      </c>
    </row>
    <row r="119" spans="2:89" s="442" customFormat="1" ht="15" customHeight="1">
      <c r="B119" s="585" t="s">
        <v>660</v>
      </c>
      <c r="C119" s="95"/>
      <c r="D119" s="650">
        <f>CK119</f>
        <v>-0.24209669797066979</v>
      </c>
      <c r="E119" s="95"/>
      <c r="F119" s="95"/>
      <c r="G119" s="95"/>
      <c r="H119" s="95"/>
      <c r="I119" s="95"/>
      <c r="J119" s="95"/>
      <c r="K119" s="95"/>
      <c r="L119" s="95"/>
      <c r="M119" s="95"/>
      <c r="N119" s="95"/>
      <c r="O119" s="95"/>
      <c r="P119" s="680">
        <f>O119+P118</f>
        <v>-1.4418949999999999</v>
      </c>
      <c r="Q119" s="680">
        <f t="shared" ref="Q119:CB119" si="64">P119+Q118</f>
        <v>-4.416355765161196</v>
      </c>
      <c r="R119" s="680">
        <f t="shared" si="64"/>
        <v>-12.387605793240658</v>
      </c>
      <c r="S119" s="680">
        <f t="shared" si="64"/>
        <v>-20.697323612599391</v>
      </c>
      <c r="T119" s="680">
        <f t="shared" si="64"/>
        <v>-44.386895458349386</v>
      </c>
      <c r="U119" s="680">
        <f t="shared" si="64"/>
        <v>-52.156522258286337</v>
      </c>
      <c r="V119" s="680">
        <f t="shared" si="64"/>
        <v>-80.818702142980698</v>
      </c>
      <c r="W119" s="680">
        <f t="shared" si="64"/>
        <v>-91.557769840206163</v>
      </c>
      <c r="X119" s="680">
        <f t="shared" si="64"/>
        <v>-95.804337632289901</v>
      </c>
      <c r="Y119" s="680">
        <f t="shared" si="64"/>
        <v>-113.80763474953569</v>
      </c>
      <c r="Z119" s="680">
        <f t="shared" si="64"/>
        <v>-135.44841371683134</v>
      </c>
      <c r="AA119" s="680">
        <f t="shared" si="64"/>
        <v>-135.90415212282056</v>
      </c>
      <c r="AB119" s="680">
        <f t="shared" si="64"/>
        <v>-139.30485089451878</v>
      </c>
      <c r="AC119" s="680">
        <f t="shared" si="64"/>
        <v>-142.78004056692197</v>
      </c>
      <c r="AD119" s="680">
        <f t="shared" si="64"/>
        <v>-140.29226126199964</v>
      </c>
      <c r="AE119" s="680">
        <f t="shared" si="64"/>
        <v>-143.08765268728575</v>
      </c>
      <c r="AF119" s="680">
        <f t="shared" si="64"/>
        <v>-140.41828396776722</v>
      </c>
      <c r="AG119" s="680">
        <f t="shared" si="64"/>
        <v>-148.46011260960432</v>
      </c>
      <c r="AH119" s="680">
        <f t="shared" si="64"/>
        <v>-167.43718737682505</v>
      </c>
      <c r="AI119" s="680">
        <f t="shared" si="64"/>
        <v>-165.65720263008348</v>
      </c>
      <c r="AJ119" s="680">
        <f t="shared" si="64"/>
        <v>-157.93862147464137</v>
      </c>
      <c r="AK119" s="680">
        <f t="shared" si="64"/>
        <v>-163.62904231626487</v>
      </c>
      <c r="AL119" s="680">
        <f t="shared" si="64"/>
        <v>-164.08907576604074</v>
      </c>
      <c r="AM119" s="680">
        <f t="shared" si="64"/>
        <v>-159.00870653939373</v>
      </c>
      <c r="AN119" s="680">
        <f t="shared" si="64"/>
        <v>-169.99221289292385</v>
      </c>
      <c r="AO119" s="680">
        <f t="shared" si="64"/>
        <v>-163.47185008413007</v>
      </c>
      <c r="AP119" s="680">
        <f t="shared" si="64"/>
        <v>-192.71969483920117</v>
      </c>
      <c r="AQ119" s="680">
        <f t="shared" si="64"/>
        <v>-192.80311942036423</v>
      </c>
      <c r="AR119" s="680">
        <f t="shared" si="64"/>
        <v>-191.60922138482044</v>
      </c>
      <c r="AS119" s="680">
        <f t="shared" si="64"/>
        <v>-194.41482763106816</v>
      </c>
      <c r="AT119" s="680">
        <f t="shared" si="64"/>
        <v>-193.21739033193501</v>
      </c>
      <c r="AU119" s="680">
        <f t="shared" si="64"/>
        <v>-187.68035073205675</v>
      </c>
      <c r="AV119" s="680">
        <f t="shared" si="64"/>
        <v>-187.37985499051774</v>
      </c>
      <c r="AW119" s="680">
        <f t="shared" si="64"/>
        <v>-182.93233365806645</v>
      </c>
      <c r="AX119" s="680">
        <f t="shared" si="64"/>
        <v>-179.94766909464914</v>
      </c>
      <c r="AY119" s="680">
        <f t="shared" si="64"/>
        <v>-193.83880796393197</v>
      </c>
      <c r="AZ119" s="680">
        <f t="shared" si="64"/>
        <v>-195.90689588772071</v>
      </c>
      <c r="BA119" s="680">
        <f t="shared" si="64"/>
        <v>-197.78574536664379</v>
      </c>
      <c r="BB119" s="680">
        <f t="shared" si="64"/>
        <v>-193.49005749398484</v>
      </c>
      <c r="BC119" s="681">
        <f t="shared" si="64"/>
        <v>-188.14734305390604</v>
      </c>
      <c r="BD119" s="680">
        <f t="shared" si="64"/>
        <v>-184.87479680282974</v>
      </c>
      <c r="BE119" s="680">
        <f t="shared" si="64"/>
        <v>-181.06666279539414</v>
      </c>
      <c r="BF119" s="580">
        <f t="shared" si="64"/>
        <v>-182.27033783084588</v>
      </c>
      <c r="BG119" s="580">
        <f t="shared" si="64"/>
        <v>-178.32611311867694</v>
      </c>
      <c r="BH119" s="580">
        <f t="shared" si="64"/>
        <v>-176.06576625597717</v>
      </c>
      <c r="BI119" s="580">
        <f t="shared" si="64"/>
        <v>-172.6379465367433</v>
      </c>
      <c r="BJ119" s="580">
        <f t="shared" si="64"/>
        <v>-167.7371629041148</v>
      </c>
      <c r="BK119" s="580">
        <f t="shared" si="64"/>
        <v>-155.09331862735488</v>
      </c>
      <c r="BL119" s="580">
        <f t="shared" si="64"/>
        <v>-146.64248901434948</v>
      </c>
      <c r="BM119" s="580">
        <f t="shared" si="64"/>
        <v>-146.64615138577335</v>
      </c>
      <c r="BN119" s="580">
        <f t="shared" si="64"/>
        <v>-148.18975881335928</v>
      </c>
      <c r="BO119" s="580">
        <f t="shared" si="64"/>
        <v>-139.80581144699377</v>
      </c>
      <c r="BP119" s="580">
        <f t="shared" si="64"/>
        <v>-129.54002452924377</v>
      </c>
      <c r="BQ119" s="580">
        <f t="shared" si="64"/>
        <v>-144.45523116162258</v>
      </c>
      <c r="BR119" s="580">
        <f t="shared" si="64"/>
        <v>-138.96771201379309</v>
      </c>
      <c r="BS119" s="580">
        <f t="shared" si="64"/>
        <v>-135.73182514647357</v>
      </c>
      <c r="BT119" s="580">
        <f t="shared" si="64"/>
        <v>-133.32221014863742</v>
      </c>
      <c r="BU119" s="580">
        <f t="shared" si="64"/>
        <v>-144.44707309033694</v>
      </c>
      <c r="BV119" s="580">
        <f t="shared" si="64"/>
        <v>-150.159065681941</v>
      </c>
      <c r="BW119" s="580">
        <f t="shared" si="64"/>
        <v>-143.79298133166012</v>
      </c>
      <c r="BX119" s="580">
        <f t="shared" si="64"/>
        <v>-134.46582653150739</v>
      </c>
      <c r="BY119" s="580">
        <f t="shared" si="64"/>
        <v>-128.14071565333316</v>
      </c>
      <c r="BZ119" s="580">
        <f t="shared" si="64"/>
        <v>-123.27677275233256</v>
      </c>
      <c r="CA119" s="580">
        <f t="shared" si="64"/>
        <v>-121.00178317021461</v>
      </c>
      <c r="CB119" s="580">
        <f t="shared" si="64"/>
        <v>-114.21057516009935</v>
      </c>
      <c r="CC119" s="580">
        <f t="shared" ref="CC119:CK119" si="65">CB119+CC118</f>
        <v>-106.65400989764927</v>
      </c>
      <c r="CD119" s="580">
        <f t="shared" si="65"/>
        <v>-94.704087657170987</v>
      </c>
      <c r="CE119" s="580">
        <f t="shared" si="65"/>
        <v>-77.959203776630233</v>
      </c>
      <c r="CF119" s="580">
        <f t="shared" si="65"/>
        <v>-66.991897389808955</v>
      </c>
      <c r="CG119" s="580">
        <f t="shared" si="65"/>
        <v>-60.328471852504066</v>
      </c>
      <c r="CH119" s="580">
        <f t="shared" si="65"/>
        <v>-50.206668755173645</v>
      </c>
      <c r="CI119" s="580">
        <f t="shared" si="65"/>
        <v>-31.383124178633356</v>
      </c>
      <c r="CJ119" s="580">
        <f t="shared" si="65"/>
        <v>-8.9257292549494842</v>
      </c>
      <c r="CK119" s="580">
        <f t="shared" si="65"/>
        <v>-0.24209669797066979</v>
      </c>
    </row>
    <row r="120" spans="2:89" s="442" customFormat="1" ht="15" customHeight="1">
      <c r="B120" s="586"/>
      <c r="C120" s="95"/>
      <c r="D120" s="581"/>
      <c r="E120" s="95"/>
      <c r="F120" s="95"/>
      <c r="G120" s="95"/>
      <c r="H120" s="95"/>
      <c r="I120" s="95"/>
      <c r="J120" s="95"/>
      <c r="K120" s="95"/>
      <c r="L120" s="95"/>
      <c r="M120" s="95"/>
      <c r="N120" s="95"/>
      <c r="O120" s="95"/>
      <c r="P120" s="95"/>
      <c r="Q120" s="95"/>
      <c r="R120" s="95"/>
      <c r="S120" s="95"/>
      <c r="T120" s="95"/>
      <c r="U120" s="95"/>
      <c r="V120" s="95"/>
      <c r="W120" s="95" t="s">
        <v>632</v>
      </c>
      <c r="X120" s="95"/>
      <c r="Y120" s="95"/>
      <c r="Z120" s="95"/>
      <c r="AA120" s="95"/>
      <c r="AB120" s="95"/>
      <c r="AC120" s="95"/>
      <c r="AD120" s="95"/>
      <c r="AE120" s="95" t="s">
        <v>634</v>
      </c>
      <c r="AF120" s="95"/>
      <c r="AG120" s="95"/>
      <c r="AH120" s="95"/>
      <c r="AI120" s="95"/>
      <c r="AJ120" s="95"/>
      <c r="AK120" s="95"/>
      <c r="AL120" s="95"/>
      <c r="AM120" s="95"/>
      <c r="AN120" s="95"/>
      <c r="AO120" s="95" t="s">
        <v>631</v>
      </c>
      <c r="AP120" s="95"/>
      <c r="AQ120" s="95"/>
      <c r="AR120" s="95"/>
      <c r="AS120" s="95"/>
      <c r="AT120" s="95"/>
      <c r="AU120" s="95"/>
      <c r="AV120" s="95"/>
      <c r="AW120" s="95"/>
      <c r="AX120" s="95"/>
      <c r="AY120" s="95"/>
      <c r="AZ120" s="95"/>
      <c r="BA120" s="95"/>
      <c r="BB120" s="95"/>
      <c r="BC120" s="609"/>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row>
    <row r="121" spans="2:89" s="96" customFormat="1" ht="15" customHeight="1">
      <c r="B121" s="586"/>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609"/>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row>
    <row r="122" spans="2:89" s="623" customFormat="1" ht="15" customHeight="1">
      <c r="B122" s="177" t="s">
        <v>661</v>
      </c>
      <c r="C122" s="188" t="s">
        <v>274</v>
      </c>
      <c r="D122" s="178" t="s">
        <v>4</v>
      </c>
      <c r="E122" s="624"/>
    </row>
    <row r="123" spans="2:89" s="623" customFormat="1" ht="15" customHeight="1">
      <c r="B123" s="576" t="s">
        <v>635</v>
      </c>
      <c r="C123" s="577"/>
      <c r="D123" s="578">
        <f>SUM(P123:CK123)</f>
        <v>-0.24209669797066979</v>
      </c>
      <c r="E123" s="624"/>
      <c r="J123" s="630">
        <f t="shared" ref="J123:O123" si="66">J118</f>
        <v>0</v>
      </c>
      <c r="K123" s="630">
        <f t="shared" si="66"/>
        <v>0</v>
      </c>
      <c r="L123" s="630">
        <f t="shared" si="66"/>
        <v>0</v>
      </c>
      <c r="M123" s="630">
        <f t="shared" si="66"/>
        <v>0</v>
      </c>
      <c r="N123" s="630">
        <f t="shared" si="66"/>
        <v>0</v>
      </c>
      <c r="O123" s="630">
        <f t="shared" si="66"/>
        <v>0</v>
      </c>
      <c r="P123" s="630">
        <f>P118</f>
        <v>-1.4418949999999999</v>
      </c>
      <c r="Q123" s="630">
        <f>Q118</f>
        <v>-2.9744607651611958</v>
      </c>
      <c r="R123" s="630">
        <f>R118</f>
        <v>-7.9712500280794618</v>
      </c>
      <c r="S123" s="630">
        <f t="shared" ref="S123:CD123" si="67">S118</f>
        <v>-8.3097178193587311</v>
      </c>
      <c r="T123" s="630">
        <f t="shared" si="67"/>
        <v>-23.689571845749995</v>
      </c>
      <c r="U123" s="630">
        <f t="shared" si="67"/>
        <v>-7.7696267999369502</v>
      </c>
      <c r="V123" s="630">
        <f t="shared" si="67"/>
        <v>-28.662179884694361</v>
      </c>
      <c r="W123" s="630">
        <f t="shared" si="67"/>
        <v>-10.739067697225471</v>
      </c>
      <c r="X123" s="630">
        <f t="shared" si="67"/>
        <v>-4.2465677920837441</v>
      </c>
      <c r="Y123" s="630">
        <f t="shared" si="67"/>
        <v>-18.00329711724579</v>
      </c>
      <c r="Z123" s="630">
        <f t="shared" si="67"/>
        <v>-21.640778967295635</v>
      </c>
      <c r="AA123" s="630">
        <f t="shared" si="67"/>
        <v>-0.45573840598921045</v>
      </c>
      <c r="AB123" s="630">
        <f t="shared" si="67"/>
        <v>-3.4006987716982149</v>
      </c>
      <c r="AC123" s="630">
        <f t="shared" si="67"/>
        <v>-3.4751896724031752</v>
      </c>
      <c r="AD123" s="630">
        <f t="shared" si="67"/>
        <v>2.4877793049223147</v>
      </c>
      <c r="AE123" s="630">
        <f t="shared" si="67"/>
        <v>-2.7953914252861214</v>
      </c>
      <c r="AF123" s="630">
        <f t="shared" si="67"/>
        <v>2.6693687195185412</v>
      </c>
      <c r="AG123" s="630">
        <f t="shared" si="67"/>
        <v>-8.0418286418370943</v>
      </c>
      <c r="AH123" s="630">
        <f t="shared" si="67"/>
        <v>-18.977074767220738</v>
      </c>
      <c r="AI123" s="630">
        <f t="shared" si="67"/>
        <v>1.7799847467415777</v>
      </c>
      <c r="AJ123" s="630">
        <f t="shared" si="67"/>
        <v>7.7185811554420951</v>
      </c>
      <c r="AK123" s="630">
        <f t="shared" si="67"/>
        <v>-5.69042084162351</v>
      </c>
      <c r="AL123" s="630">
        <f t="shared" si="67"/>
        <v>-0.46003344977586025</v>
      </c>
      <c r="AM123" s="630">
        <f t="shared" si="67"/>
        <v>5.0803692266470168</v>
      </c>
      <c r="AN123" s="630">
        <f t="shared" si="67"/>
        <v>-10.983506353530123</v>
      </c>
      <c r="AO123" s="630">
        <f t="shared" si="67"/>
        <v>6.5203628087937826</v>
      </c>
      <c r="AP123" s="630">
        <f t="shared" si="67"/>
        <v>-29.24784475507111</v>
      </c>
      <c r="AQ123" s="630">
        <f t="shared" si="67"/>
        <v>-8.3424581163043854E-2</v>
      </c>
      <c r="AR123" s="630">
        <f t="shared" si="67"/>
        <v>1.1938980355437945</v>
      </c>
      <c r="AS123" s="630">
        <f t="shared" si="67"/>
        <v>-2.8056062462477289</v>
      </c>
      <c r="AT123" s="630">
        <f t="shared" si="67"/>
        <v>1.1974372991331634</v>
      </c>
      <c r="AU123" s="630">
        <f t="shared" si="67"/>
        <v>5.5370395998782485</v>
      </c>
      <c r="AV123" s="630">
        <f t="shared" si="67"/>
        <v>0.30049574153899705</v>
      </c>
      <c r="AW123" s="630">
        <f t="shared" si="67"/>
        <v>4.4475213324512879</v>
      </c>
      <c r="AX123" s="630">
        <f t="shared" si="67"/>
        <v>2.9846645634173168</v>
      </c>
      <c r="AY123" s="630">
        <f t="shared" si="67"/>
        <v>-13.891138869282832</v>
      </c>
      <c r="AZ123" s="630">
        <f t="shared" si="67"/>
        <v>-2.0680879237887364</v>
      </c>
      <c r="BA123" s="630">
        <f t="shared" si="67"/>
        <v>-1.8788494789230743</v>
      </c>
      <c r="BB123" s="630">
        <f t="shared" si="67"/>
        <v>4.2956878726589611</v>
      </c>
      <c r="BC123" s="630">
        <f t="shared" si="67"/>
        <v>5.3427144400788045</v>
      </c>
      <c r="BD123" s="630">
        <f t="shared" si="67"/>
        <v>3.272546251076319</v>
      </c>
      <c r="BE123" s="630">
        <f t="shared" si="67"/>
        <v>3.808134007435596</v>
      </c>
      <c r="BF123" s="630">
        <f t="shared" si="67"/>
        <v>-1.2036750354517451</v>
      </c>
      <c r="BG123" s="630">
        <f t="shared" si="67"/>
        <v>3.9442247121689284</v>
      </c>
      <c r="BH123" s="630">
        <f t="shared" si="67"/>
        <v>2.2603468626997785</v>
      </c>
      <c r="BI123" s="630">
        <f t="shared" si="67"/>
        <v>3.427819719233856</v>
      </c>
      <c r="BJ123" s="630">
        <f t="shared" si="67"/>
        <v>4.9007836326285048</v>
      </c>
      <c r="BK123" s="630">
        <f t="shared" si="67"/>
        <v>12.643844276759909</v>
      </c>
      <c r="BL123" s="630">
        <f t="shared" si="67"/>
        <v>8.4508296130054035</v>
      </c>
      <c r="BM123" s="630">
        <f t="shared" si="67"/>
        <v>-3.6623714238626093E-3</v>
      </c>
      <c r="BN123" s="630">
        <f t="shared" si="67"/>
        <v>-1.5436074275859397</v>
      </c>
      <c r="BO123" s="630">
        <f t="shared" si="67"/>
        <v>8.383947366365506</v>
      </c>
      <c r="BP123" s="630">
        <f t="shared" si="67"/>
        <v>10.265786917750015</v>
      </c>
      <c r="BQ123" s="630">
        <f t="shared" si="67"/>
        <v>-14.9152066323788</v>
      </c>
      <c r="BR123" s="630">
        <f t="shared" si="67"/>
        <v>5.4875191478294827</v>
      </c>
      <c r="BS123" s="630">
        <f t="shared" si="67"/>
        <v>3.235886867319536</v>
      </c>
      <c r="BT123" s="630">
        <f t="shared" si="67"/>
        <v>2.4096149978361492</v>
      </c>
      <c r="BU123" s="630">
        <f t="shared" si="67"/>
        <v>-11.124862941699512</v>
      </c>
      <c r="BV123" s="630">
        <f t="shared" si="67"/>
        <v>-5.711992591604071</v>
      </c>
      <c r="BW123" s="630">
        <f t="shared" si="67"/>
        <v>6.3660843502808842</v>
      </c>
      <c r="BX123" s="630">
        <f t="shared" si="67"/>
        <v>9.3271548001527389</v>
      </c>
      <c r="BY123" s="630">
        <f t="shared" si="67"/>
        <v>6.3251108781742378</v>
      </c>
      <c r="BZ123" s="630">
        <f t="shared" si="67"/>
        <v>4.8639429010006046</v>
      </c>
      <c r="CA123" s="630">
        <f t="shared" si="67"/>
        <v>2.2749895821179509</v>
      </c>
      <c r="CB123" s="630">
        <f t="shared" si="67"/>
        <v>6.791208010115251</v>
      </c>
      <c r="CC123" s="630">
        <f t="shared" si="67"/>
        <v>7.5565652624500856</v>
      </c>
      <c r="CD123" s="630">
        <f t="shared" si="67"/>
        <v>11.949922240478285</v>
      </c>
      <c r="CE123" s="630">
        <f t="shared" ref="CE123:CK123" si="68">CE118</f>
        <v>16.744883880540762</v>
      </c>
      <c r="CF123" s="630">
        <f t="shared" si="68"/>
        <v>10.967306386821274</v>
      </c>
      <c r="CG123" s="630">
        <f t="shared" si="68"/>
        <v>6.663425537304887</v>
      </c>
      <c r="CH123" s="630">
        <f t="shared" si="68"/>
        <v>10.121803097330423</v>
      </c>
      <c r="CI123" s="630">
        <f t="shared" si="68"/>
        <v>18.823544576540289</v>
      </c>
      <c r="CJ123" s="630">
        <f t="shared" si="68"/>
        <v>22.457394923683871</v>
      </c>
      <c r="CK123" s="630">
        <f t="shared" si="68"/>
        <v>8.6836325569788144</v>
      </c>
    </row>
    <row r="124" spans="2:89" s="623" customFormat="1" ht="15" customHeight="1">
      <c r="B124" s="576" t="s">
        <v>636</v>
      </c>
      <c r="C124" s="577"/>
      <c r="D124" s="578">
        <f>SUM(P124:CK124)</f>
        <v>592.53232212660282</v>
      </c>
      <c r="E124" s="626"/>
      <c r="F124" s="627"/>
      <c r="G124" s="627"/>
      <c r="H124" s="627"/>
      <c r="I124" s="627"/>
      <c r="J124" s="631">
        <f t="shared" ref="J124:O124" si="69">-J116-J117</f>
        <v>0</v>
      </c>
      <c r="K124" s="631">
        <f t="shared" si="69"/>
        <v>0</v>
      </c>
      <c r="L124" s="631">
        <f t="shared" si="69"/>
        <v>0</v>
      </c>
      <c r="M124" s="631">
        <f t="shared" si="69"/>
        <v>0</v>
      </c>
      <c r="N124" s="631">
        <f t="shared" si="69"/>
        <v>0</v>
      </c>
      <c r="O124" s="631">
        <f t="shared" si="69"/>
        <v>0</v>
      </c>
      <c r="P124" s="631">
        <f>-P116-P117</f>
        <v>4.1894999999999995E-2</v>
      </c>
      <c r="Q124" s="631">
        <f>-Q116-Q117</f>
        <v>0.12819241574999998</v>
      </c>
      <c r="R124" s="631">
        <f>-R116-R117</f>
        <v>0.41992889254489763</v>
      </c>
      <c r="S124" s="631">
        <f t="shared" ref="S124:CD124" si="70">-S116-S117</f>
        <v>0.89298077771574791</v>
      </c>
      <c r="T124" s="631">
        <f t="shared" si="70"/>
        <v>1.822736578602588</v>
      </c>
      <c r="U124" s="631">
        <f t="shared" si="70"/>
        <v>2.7318324535707252</v>
      </c>
      <c r="V124" s="631">
        <f t="shared" si="70"/>
        <v>3.7953446175469514</v>
      </c>
      <c r="W124" s="631">
        <f t="shared" si="70"/>
        <v>4.9401681084700293</v>
      </c>
      <c r="X124" s="631">
        <f t="shared" si="70"/>
        <v>5.4797325249363391</v>
      </c>
      <c r="Y124" s="631">
        <f t="shared" si="70"/>
        <v>5.9976938676810647</v>
      </c>
      <c r="Z124" s="631">
        <f t="shared" si="70"/>
        <v>7.173943700148226</v>
      </c>
      <c r="AA124" s="631">
        <f t="shared" si="70"/>
        <v>8.1065875609523559</v>
      </c>
      <c r="AB124" s="631">
        <f t="shared" si="70"/>
        <v>8.1338635045508099</v>
      </c>
      <c r="AC124" s="631">
        <f t="shared" si="70"/>
        <v>8.3373953260369493</v>
      </c>
      <c r="AD124" s="631">
        <f t="shared" si="70"/>
        <v>8.5453854279302792</v>
      </c>
      <c r="AE124" s="631">
        <f t="shared" si="70"/>
        <v>8.3964918365306787</v>
      </c>
      <c r="AF124" s="631">
        <f t="shared" si="70"/>
        <v>8.563796013334052</v>
      </c>
      <c r="AG124" s="631">
        <f t="shared" si="70"/>
        <v>8.4040342954708684</v>
      </c>
      <c r="AH124" s="631">
        <f t="shared" si="70"/>
        <v>9.1102395000733321</v>
      </c>
      <c r="AI124" s="631">
        <f t="shared" si="70"/>
        <v>10.021115664502979</v>
      </c>
      <c r="AJ124" s="631">
        <f t="shared" si="70"/>
        <v>9.9145835774104967</v>
      </c>
      <c r="AK124" s="631">
        <f t="shared" si="70"/>
        <v>9.4526264952572863</v>
      </c>
      <c r="AL124" s="631">
        <f t="shared" si="70"/>
        <v>9.7931981826284531</v>
      </c>
      <c r="AM124" s="631">
        <f t="shared" si="70"/>
        <v>9.8207311845975376</v>
      </c>
      <c r="AN124" s="631">
        <f t="shared" si="70"/>
        <v>9.5166710863827149</v>
      </c>
      <c r="AO124" s="631">
        <f t="shared" si="70"/>
        <v>10.174033941641492</v>
      </c>
      <c r="AP124" s="631">
        <f t="shared" si="70"/>
        <v>10.281009487923699</v>
      </c>
      <c r="AQ124" s="631">
        <f t="shared" si="70"/>
        <v>11.53427373612619</v>
      </c>
      <c r="AR124" s="631">
        <f t="shared" si="70"/>
        <v>11.539266697308799</v>
      </c>
      <c r="AS124" s="631">
        <f t="shared" si="70"/>
        <v>11.467811899881504</v>
      </c>
      <c r="AT124" s="631">
        <f t="shared" si="70"/>
        <v>11.635727433719429</v>
      </c>
      <c r="AU124" s="631">
        <f t="shared" si="70"/>
        <v>11.564060811366311</v>
      </c>
      <c r="AV124" s="631">
        <f t="shared" si="70"/>
        <v>11.232668991313597</v>
      </c>
      <c r="AW124" s="631">
        <f t="shared" si="70"/>
        <v>11.214684321182487</v>
      </c>
      <c r="AX124" s="631">
        <f t="shared" si="70"/>
        <v>10.948500169435277</v>
      </c>
      <c r="AY124" s="631">
        <f t="shared" si="70"/>
        <v>10.792239280527387</v>
      </c>
      <c r="AZ124" s="631">
        <f t="shared" si="70"/>
        <v>11.601252656641329</v>
      </c>
      <c r="BA124" s="631">
        <f t="shared" si="70"/>
        <v>11.725027718880085</v>
      </c>
      <c r="BB124" s="631">
        <f t="shared" si="70"/>
        <v>11.837476860193631</v>
      </c>
      <c r="BC124" s="631">
        <f t="shared" si="70"/>
        <v>11.580379941014993</v>
      </c>
      <c r="BD124" s="631">
        <f t="shared" si="70"/>
        <v>11.260618481776277</v>
      </c>
      <c r="BE124" s="631">
        <f t="shared" si="70"/>
        <v>11.06475658864936</v>
      </c>
      <c r="BF124" s="631">
        <f t="shared" si="70"/>
        <v>10.836839768304339</v>
      </c>
      <c r="BG124" s="631">
        <f t="shared" si="70"/>
        <v>10.908879719176126</v>
      </c>
      <c r="BH124" s="631">
        <f t="shared" si="70"/>
        <v>10.672817870152816</v>
      </c>
      <c r="BI124" s="631">
        <f t="shared" si="70"/>
        <v>10.537536110420234</v>
      </c>
      <c r="BJ124" s="631">
        <f t="shared" si="70"/>
        <v>10.332381100224087</v>
      </c>
      <c r="BK124" s="631">
        <f t="shared" si="70"/>
        <v>10.039069199811271</v>
      </c>
      <c r="BL124" s="631">
        <f t="shared" si="70"/>
        <v>9.2823351198471897</v>
      </c>
      <c r="BM124" s="631">
        <f t="shared" si="70"/>
        <v>8.7765529675088167</v>
      </c>
      <c r="BN124" s="631">
        <f t="shared" si="70"/>
        <v>8.7767721604385347</v>
      </c>
      <c r="BO124" s="631">
        <f t="shared" si="70"/>
        <v>8.8691570649795519</v>
      </c>
      <c r="BP124" s="631">
        <f t="shared" si="70"/>
        <v>8.3673778151025768</v>
      </c>
      <c r="BQ124" s="631">
        <f t="shared" si="70"/>
        <v>7.8880972284637538</v>
      </c>
      <c r="BR124" s="631">
        <f t="shared" si="70"/>
        <v>8.6456455850231109</v>
      </c>
      <c r="BS124" s="631">
        <f t="shared" si="70"/>
        <v>8.3172175640255173</v>
      </c>
      <c r="BT124" s="631">
        <f t="shared" si="70"/>
        <v>8.123549735016443</v>
      </c>
      <c r="BU124" s="631">
        <f t="shared" si="70"/>
        <v>7.9977535377844635</v>
      </c>
      <c r="BV124" s="631">
        <f t="shared" si="70"/>
        <v>8.6451573244566653</v>
      </c>
      <c r="BW124" s="631">
        <f t="shared" si="70"/>
        <v>8.9870200810641698</v>
      </c>
      <c r="BX124" s="631">
        <f t="shared" si="70"/>
        <v>8.6060099326998571</v>
      </c>
      <c r="BY124" s="631">
        <f t="shared" si="70"/>
        <v>8.0477797179107178</v>
      </c>
      <c r="BZ124" s="631">
        <f t="shared" si="70"/>
        <v>7.6692218318519894</v>
      </c>
      <c r="CA124" s="631">
        <f t="shared" si="70"/>
        <v>7.3781148492271038</v>
      </c>
      <c r="CB124" s="631">
        <f t="shared" si="70"/>
        <v>7.2419567227373447</v>
      </c>
      <c r="CC124" s="631">
        <f t="shared" si="70"/>
        <v>6.835502923331946</v>
      </c>
      <c r="CD124" s="631">
        <f t="shared" si="70"/>
        <v>6.3832424923743094</v>
      </c>
      <c r="CE124" s="631">
        <f t="shared" ref="CE124:CK124" si="71">-CE116-CE117</f>
        <v>5.6680396462816836</v>
      </c>
      <c r="CF124" s="631">
        <f t="shared" si="71"/>
        <v>4.6658583460313192</v>
      </c>
      <c r="CG124" s="631">
        <f t="shared" si="71"/>
        <v>4.0094650587800658</v>
      </c>
      <c r="CH124" s="631">
        <f t="shared" si="71"/>
        <v>3.6106590403723682</v>
      </c>
      <c r="CI124" s="631">
        <f t="shared" si="71"/>
        <v>3.0048691249971426</v>
      </c>
      <c r="CJ124" s="631">
        <f t="shared" si="71"/>
        <v>1.8782799820912064</v>
      </c>
      <c r="CK124" s="631">
        <f t="shared" si="71"/>
        <v>0.53420489590872666</v>
      </c>
    </row>
    <row r="125" spans="2:89" s="623" customFormat="1" ht="15" customHeight="1">
      <c r="B125" s="576" t="s">
        <v>637</v>
      </c>
      <c r="C125" s="577"/>
      <c r="D125" s="578">
        <f>SUM(P125:CK125)</f>
        <v>128.95221428571426</v>
      </c>
      <c r="E125" s="626"/>
      <c r="F125" s="627"/>
      <c r="G125" s="627"/>
      <c r="H125" s="627"/>
      <c r="I125" s="627"/>
      <c r="J125" s="631">
        <f>'2.  Scheme Wide'!J84</f>
        <v>0</v>
      </c>
      <c r="K125" s="631">
        <f>'2.  Scheme Wide'!K84</f>
        <v>0</v>
      </c>
      <c r="L125" s="631">
        <f>'2.  Scheme Wide'!L84</f>
        <v>0</v>
      </c>
      <c r="M125" s="631">
        <f>'2.  Scheme Wide'!M84</f>
        <v>0</v>
      </c>
      <c r="N125" s="631">
        <f>'2.  Scheme Wide'!N84</f>
        <v>0</v>
      </c>
      <c r="O125" s="631">
        <f>'2.  Scheme Wide'!O84</f>
        <v>0</v>
      </c>
      <c r="P125" s="631">
        <f>'2.  Scheme Wide'!P84</f>
        <v>0</v>
      </c>
      <c r="Q125" s="631">
        <f>'2.  Scheme Wide'!Q84</f>
        <v>0</v>
      </c>
      <c r="R125" s="631">
        <f>'2.  Scheme Wide'!R84</f>
        <v>0.41785714285714282</v>
      </c>
      <c r="S125" s="631">
        <f>'2.  Scheme Wide'!S84</f>
        <v>1.9269642857142855</v>
      </c>
      <c r="T125" s="631">
        <f>'2.  Scheme Wide'!T84</f>
        <v>4.6506428571428566</v>
      </c>
      <c r="U125" s="631">
        <f>'2.  Scheme Wide'!U84</f>
        <v>2.9106428571428573</v>
      </c>
      <c r="V125" s="631">
        <f>'2.  Scheme Wide'!V84</f>
        <v>4.7282142857142855</v>
      </c>
      <c r="W125" s="631">
        <f>'2.  Scheme Wide'!W84</f>
        <v>3.2132142857142854</v>
      </c>
      <c r="X125" s="631">
        <f>'2.  Scheme Wide'!X84</f>
        <v>2.550642857142857</v>
      </c>
      <c r="Y125" s="631">
        <f>'2.  Scheme Wide'!Y84</f>
        <v>3.6306428571428575</v>
      </c>
      <c r="Z125" s="631">
        <f>'2.  Scheme Wide'!Z84</f>
        <v>4.1106428571428575</v>
      </c>
      <c r="AA125" s="631">
        <f>'2.  Scheme Wide'!AA84</f>
        <v>2.8382142857142854</v>
      </c>
      <c r="AB125" s="631">
        <f>'2.  Scheme Wide'!AB84</f>
        <v>2.0256428571428566</v>
      </c>
      <c r="AC125" s="631">
        <f>'2.  Scheme Wide'!AC84</f>
        <v>2.1006428571428573</v>
      </c>
      <c r="AD125" s="631">
        <f>'2.  Scheme Wide'!AD84</f>
        <v>1.5756428571428571</v>
      </c>
      <c r="AE125" s="631">
        <f>'2.  Scheme Wide'!AE84</f>
        <v>2.175642857142857</v>
      </c>
      <c r="AF125" s="631">
        <f>'2.  Scheme Wide'!AF84</f>
        <v>1.4582142857142857</v>
      </c>
      <c r="AG125" s="631">
        <f>'2.  Scheme Wide'!AG84</f>
        <v>2.5656428571428571</v>
      </c>
      <c r="AH125" s="631">
        <f>'2.  Scheme Wide'!AH84</f>
        <v>3.6156428571428574</v>
      </c>
      <c r="AI125" s="631">
        <f>'2.  Scheme Wide'!AI84</f>
        <v>1.4256428571428574</v>
      </c>
      <c r="AJ125" s="631">
        <f>'2.  Scheme Wide'!AJ84</f>
        <v>0.85821428571428571</v>
      </c>
      <c r="AK125" s="631">
        <f>'2.  Scheme Wide'!AK84</f>
        <v>2.1606428571428573</v>
      </c>
      <c r="AL125" s="631">
        <f>'2.  Scheme Wide'!AL84</f>
        <v>1.7706428571428572</v>
      </c>
      <c r="AM125" s="631">
        <f>'2.  Scheme Wide'!AM84</f>
        <v>1.4256428571428572</v>
      </c>
      <c r="AN125" s="631">
        <f>'2.  Scheme Wide'!AN84</f>
        <v>2.4032142857142857</v>
      </c>
      <c r="AO125" s="631">
        <f>'2.  Scheme Wide'!AO84</f>
        <v>0.87064285714285716</v>
      </c>
      <c r="AP125" s="631">
        <f>'2.  Scheme Wide'!AP84</f>
        <v>4.5306428571428565</v>
      </c>
      <c r="AQ125" s="631">
        <f>'2.  Scheme Wide'!AQ84</f>
        <v>2.8356428571428567</v>
      </c>
      <c r="AR125" s="631">
        <f>'2.  Scheme Wide'!AR84</f>
        <v>1.4132142857142858</v>
      </c>
      <c r="AS125" s="631">
        <f>'2.  Scheme Wide'!AS84</f>
        <v>1.4706428571428571</v>
      </c>
      <c r="AT125" s="631">
        <f>'2.  Scheme Wide'!AT84</f>
        <v>1.3956428571428572</v>
      </c>
      <c r="AU125" s="631">
        <f>'2.  Scheme Wide'!AU84</f>
        <v>1.1706428571428571</v>
      </c>
      <c r="AV125" s="631">
        <f>'2.  Scheme Wide'!AV84</f>
        <v>1.1582142857142856</v>
      </c>
      <c r="AW125" s="631">
        <f>'2.  Scheme Wide'!AW84</f>
        <v>1.0506428571428572</v>
      </c>
      <c r="AX125" s="631">
        <f>'2.  Scheme Wide'!AX84</f>
        <v>1.2756428571428571</v>
      </c>
      <c r="AY125" s="631">
        <f>'2.  Scheme Wide'!AY84</f>
        <v>2.6706428571428571</v>
      </c>
      <c r="AZ125" s="631">
        <f>'2.  Scheme Wide'!AZ84</f>
        <v>1.7582142857142857</v>
      </c>
      <c r="BA125" s="631">
        <f>'2.  Scheme Wide'!BA84</f>
        <v>1.6956428571428572</v>
      </c>
      <c r="BB125" s="631">
        <f>'2.  Scheme Wide'!BB84</f>
        <v>1.0506428571428572</v>
      </c>
      <c r="BC125" s="631">
        <f>'2.  Scheme Wide'!BC84</f>
        <v>1.2456428571428573</v>
      </c>
      <c r="BD125" s="631">
        <f>'2.  Scheme Wide'!BD84</f>
        <v>0.85821428571428571</v>
      </c>
      <c r="BE125" s="631">
        <f>'2.  Scheme Wide'!BE84</f>
        <v>1.1706428571428571</v>
      </c>
      <c r="BF125" s="631">
        <f>'2.  Scheme Wide'!BF84</f>
        <v>1.7706428571428572</v>
      </c>
      <c r="BG125" s="631">
        <f>'2.  Scheme Wide'!BG84</f>
        <v>1.4556428571428572</v>
      </c>
      <c r="BH125" s="631">
        <f>'2.  Scheme Wide'!BH84</f>
        <v>1.4132142857142858</v>
      </c>
      <c r="BI125" s="631">
        <f>'2.  Scheme Wide'!BI84</f>
        <v>0.87064285714285716</v>
      </c>
      <c r="BJ125" s="631">
        <f>'2.  Scheme Wide'!BJ84</f>
        <v>1.1706428571428571</v>
      </c>
      <c r="BK125" s="631">
        <f>'2.  Scheme Wide'!BK84</f>
        <v>1.3506428571428575</v>
      </c>
      <c r="BL125" s="631">
        <f>'2.  Scheme Wide'!BL84</f>
        <v>0.85821428571428571</v>
      </c>
      <c r="BM125" s="631">
        <f>'2.  Scheme Wide'!BM84</f>
        <v>1.8456428571428571</v>
      </c>
      <c r="BN125" s="631">
        <f>'2.  Scheme Wide'!BN84</f>
        <v>1.6956428571428572</v>
      </c>
      <c r="BO125" s="631">
        <f>'2.  Scheme Wide'!BO84</f>
        <v>1.1706428571428571</v>
      </c>
      <c r="BP125" s="631">
        <f>'2.  Scheme Wide'!BP84</f>
        <v>0.85821428571428571</v>
      </c>
      <c r="BQ125" s="631">
        <f>'2.  Scheme Wide'!BQ84</f>
        <v>3.2256428571428573</v>
      </c>
      <c r="BR125" s="631">
        <f>'2.  Scheme Wide'!BR84</f>
        <v>1.1706428571428571</v>
      </c>
      <c r="BS125" s="631">
        <f>'2.  Scheme Wide'!BS84</f>
        <v>1.4706428571428571</v>
      </c>
      <c r="BT125" s="631">
        <f>'2.  Scheme Wide'!BT84</f>
        <v>1.7106428571428571</v>
      </c>
      <c r="BU125" s="631">
        <f>'2.  Scheme Wide'!BU84</f>
        <v>3.1956428571428566</v>
      </c>
      <c r="BV125" s="631">
        <f>'2.  Scheme Wide'!BV84</f>
        <v>2.5356428571428569</v>
      </c>
      <c r="BW125" s="631">
        <f>'2.  Scheme Wide'!BW84</f>
        <v>1.0506428571428572</v>
      </c>
      <c r="BX125" s="631">
        <f>'2.  Scheme Wide'!BX84</f>
        <v>0.87064285714285716</v>
      </c>
      <c r="BY125" s="631">
        <f>'2.  Scheme Wide'!BY84</f>
        <v>1.2456428571428573</v>
      </c>
      <c r="BZ125" s="631">
        <f>'2.  Scheme Wide'!BZ84</f>
        <v>1.4706428571428571</v>
      </c>
      <c r="CA125" s="631">
        <f>'2.  Scheme Wide'!CA84</f>
        <v>1.6956428571428572</v>
      </c>
      <c r="CB125" s="631">
        <f>'2.  Scheme Wide'!CB84</f>
        <v>1.3506428571428575</v>
      </c>
      <c r="CC125" s="631">
        <f>'2.  Scheme Wide'!CC84</f>
        <v>1.2456428571428573</v>
      </c>
      <c r="CD125" s="631">
        <f>'2.  Scheme Wide'!CD84</f>
        <v>0.87064285714285716</v>
      </c>
      <c r="CE125" s="631">
        <f>'2.  Scheme Wide'!CE84</f>
        <v>1.0506428571428572</v>
      </c>
      <c r="CF125" s="631">
        <f>'2.  Scheme Wide'!CF84</f>
        <v>1.1706428571428571</v>
      </c>
      <c r="CG125" s="631">
        <f>'2.  Scheme Wide'!CG84</f>
        <v>1.7106428571428571</v>
      </c>
      <c r="CH125" s="631">
        <f>'2.  Scheme Wide'!CH84</f>
        <v>1.4106428571428571</v>
      </c>
      <c r="CI125" s="631">
        <f>'2.  Scheme Wide'!CI84</f>
        <v>0.87064285714285716</v>
      </c>
      <c r="CJ125" s="631">
        <f>'2.  Scheme Wide'!CJ84</f>
        <v>0.45278571428571424</v>
      </c>
      <c r="CK125" s="631">
        <f>'2.  Scheme Wide'!CK84</f>
        <v>0.55746428571428563</v>
      </c>
    </row>
    <row r="126" spans="2:89" s="623" customFormat="1" ht="15" customHeight="1" thickBot="1">
      <c r="B126" s="582" t="s">
        <v>638</v>
      </c>
      <c r="C126" s="617">
        <f>IRR(P126:CK126,0.06)</f>
        <v>8.6265488264104295E-2</v>
      </c>
      <c r="D126" s="651"/>
      <c r="E126" s="624"/>
      <c r="J126" s="632">
        <f t="shared" ref="J126:O126" si="72">SUM(J123:J125)</f>
        <v>0</v>
      </c>
      <c r="K126" s="632">
        <f t="shared" si="72"/>
        <v>0</v>
      </c>
      <c r="L126" s="632">
        <f t="shared" si="72"/>
        <v>0</v>
      </c>
      <c r="M126" s="632">
        <f t="shared" si="72"/>
        <v>0</v>
      </c>
      <c r="N126" s="632">
        <f t="shared" si="72"/>
        <v>0</v>
      </c>
      <c r="O126" s="632">
        <f t="shared" si="72"/>
        <v>0</v>
      </c>
      <c r="P126" s="632">
        <f>SUM(P123:P125)</f>
        <v>-1.4</v>
      </c>
      <c r="Q126" s="632">
        <f>SUM(Q123:Q125)</f>
        <v>-2.8462683494111958</v>
      </c>
      <c r="R126" s="632">
        <f>SUM(R123:R125)</f>
        <v>-7.1334639926774219</v>
      </c>
      <c r="S126" s="632">
        <f t="shared" ref="S126:CD126" si="73">SUM(S123:S125)</f>
        <v>-5.4897727559286977</v>
      </c>
      <c r="T126" s="632">
        <f t="shared" si="73"/>
        <v>-17.216192410004552</v>
      </c>
      <c r="U126" s="632">
        <f t="shared" si="73"/>
        <v>-2.1271514892233672</v>
      </c>
      <c r="V126" s="632">
        <f t="shared" si="73"/>
        <v>-20.138620981433121</v>
      </c>
      <c r="W126" s="632">
        <f t="shared" si="73"/>
        <v>-2.585685303041156</v>
      </c>
      <c r="X126" s="632">
        <f t="shared" si="73"/>
        <v>3.783807589995452</v>
      </c>
      <c r="Y126" s="632">
        <f t="shared" si="73"/>
        <v>-8.3749603924218672</v>
      </c>
      <c r="Z126" s="632">
        <f t="shared" si="73"/>
        <v>-10.356192410004553</v>
      </c>
      <c r="AA126" s="632">
        <f t="shared" si="73"/>
        <v>10.48906344067743</v>
      </c>
      <c r="AB126" s="632">
        <f t="shared" si="73"/>
        <v>6.7588075899954516</v>
      </c>
      <c r="AC126" s="632">
        <f t="shared" si="73"/>
        <v>6.9628485107766309</v>
      </c>
      <c r="AD126" s="632">
        <f t="shared" si="73"/>
        <v>12.60880758999545</v>
      </c>
      <c r="AE126" s="632">
        <f t="shared" si="73"/>
        <v>7.7767432683874143</v>
      </c>
      <c r="AF126" s="632">
        <f t="shared" si="73"/>
        <v>12.691379018566879</v>
      </c>
      <c r="AG126" s="632">
        <f t="shared" si="73"/>
        <v>2.9278485107766312</v>
      </c>
      <c r="AH126" s="632">
        <f t="shared" si="73"/>
        <v>-6.2511924100045491</v>
      </c>
      <c r="AI126" s="632">
        <f t="shared" si="73"/>
        <v>13.226743268387414</v>
      </c>
      <c r="AJ126" s="632">
        <f t="shared" si="73"/>
        <v>18.491379018566878</v>
      </c>
      <c r="AK126" s="632">
        <f t="shared" si="73"/>
        <v>5.9228485107766335</v>
      </c>
      <c r="AL126" s="632">
        <f t="shared" si="73"/>
        <v>11.10380758999545</v>
      </c>
      <c r="AM126" s="632">
        <f t="shared" si="73"/>
        <v>16.326743268387411</v>
      </c>
      <c r="AN126" s="632">
        <f t="shared" si="73"/>
        <v>0.93637901856687789</v>
      </c>
      <c r="AO126" s="632">
        <f t="shared" si="73"/>
        <v>17.565039607578132</v>
      </c>
      <c r="AP126" s="632">
        <f t="shared" si="73"/>
        <v>-14.436192410004553</v>
      </c>
      <c r="AQ126" s="632">
        <f t="shared" si="73"/>
        <v>14.286492012106002</v>
      </c>
      <c r="AR126" s="632">
        <f t="shared" si="73"/>
        <v>14.146379018566879</v>
      </c>
      <c r="AS126" s="632">
        <f t="shared" si="73"/>
        <v>10.132848510776633</v>
      </c>
      <c r="AT126" s="632">
        <f t="shared" si="73"/>
        <v>14.22880758999545</v>
      </c>
      <c r="AU126" s="632">
        <f t="shared" si="73"/>
        <v>18.271743268387418</v>
      </c>
      <c r="AV126" s="632">
        <f t="shared" si="73"/>
        <v>12.691379018566879</v>
      </c>
      <c r="AW126" s="632">
        <f t="shared" si="73"/>
        <v>16.712848510776631</v>
      </c>
      <c r="AX126" s="632">
        <f t="shared" si="73"/>
        <v>15.208807589995452</v>
      </c>
      <c r="AY126" s="632">
        <f t="shared" si="73"/>
        <v>-0.42825673161258848</v>
      </c>
      <c r="AZ126" s="632">
        <f t="shared" si="73"/>
        <v>11.291379018566879</v>
      </c>
      <c r="BA126" s="632">
        <f t="shared" si="73"/>
        <v>11.541821097099868</v>
      </c>
      <c r="BB126" s="632">
        <f t="shared" si="73"/>
        <v>17.18380758999545</v>
      </c>
      <c r="BC126" s="632">
        <f t="shared" si="73"/>
        <v>18.168737238236655</v>
      </c>
      <c r="BD126" s="632">
        <f t="shared" si="73"/>
        <v>15.391379018566882</v>
      </c>
      <c r="BE126" s="632">
        <f t="shared" si="73"/>
        <v>16.043533453227813</v>
      </c>
      <c r="BF126" s="632">
        <f t="shared" si="73"/>
        <v>11.40380758999545</v>
      </c>
      <c r="BG126" s="632">
        <f t="shared" si="73"/>
        <v>16.308747288487911</v>
      </c>
      <c r="BH126" s="632">
        <f t="shared" si="73"/>
        <v>14.34637901856688</v>
      </c>
      <c r="BI126" s="632">
        <f t="shared" si="73"/>
        <v>14.835998686796946</v>
      </c>
      <c r="BJ126" s="632">
        <f t="shared" si="73"/>
        <v>16.403807589995449</v>
      </c>
      <c r="BK126" s="632">
        <f t="shared" si="73"/>
        <v>24.033556333714039</v>
      </c>
      <c r="BL126" s="632">
        <f t="shared" si="73"/>
        <v>18.591379018566879</v>
      </c>
      <c r="BM126" s="632">
        <f t="shared" si="73"/>
        <v>10.618533453227812</v>
      </c>
      <c r="BN126" s="632">
        <f t="shared" si="73"/>
        <v>8.9288075899954524</v>
      </c>
      <c r="BO126" s="632">
        <f t="shared" si="73"/>
        <v>18.423747288487917</v>
      </c>
      <c r="BP126" s="632">
        <f t="shared" si="73"/>
        <v>19.491379018566878</v>
      </c>
      <c r="BQ126" s="632">
        <f t="shared" si="73"/>
        <v>-3.8014665467721884</v>
      </c>
      <c r="BR126" s="632">
        <f t="shared" si="73"/>
        <v>15.303807589995451</v>
      </c>
      <c r="BS126" s="632">
        <f t="shared" si="73"/>
        <v>13.023747288487911</v>
      </c>
      <c r="BT126" s="632">
        <f t="shared" si="73"/>
        <v>12.243807589995448</v>
      </c>
      <c r="BU126" s="632">
        <f t="shared" si="73"/>
        <v>6.8533453227808572E-2</v>
      </c>
      <c r="BV126" s="632">
        <f t="shared" si="73"/>
        <v>5.4688075899954516</v>
      </c>
      <c r="BW126" s="632">
        <f t="shared" si="73"/>
        <v>16.40374728848791</v>
      </c>
      <c r="BX126" s="632">
        <f t="shared" si="73"/>
        <v>18.803807589995454</v>
      </c>
      <c r="BY126" s="632">
        <f t="shared" si="73"/>
        <v>15.618533453227812</v>
      </c>
      <c r="BZ126" s="632">
        <f t="shared" si="73"/>
        <v>14.003807589995452</v>
      </c>
      <c r="CA126" s="632">
        <f t="shared" si="73"/>
        <v>11.348747288487912</v>
      </c>
      <c r="CB126" s="632">
        <f t="shared" si="73"/>
        <v>15.383807589995453</v>
      </c>
      <c r="CC126" s="632">
        <f t="shared" si="73"/>
        <v>15.637711042924888</v>
      </c>
      <c r="CD126" s="632">
        <f t="shared" si="73"/>
        <v>19.203807589995453</v>
      </c>
      <c r="CE126" s="632">
        <f t="shared" ref="CE126:CK126" si="74">SUM(CE123:CE125)</f>
        <v>23.463566383965304</v>
      </c>
      <c r="CF126" s="632">
        <f t="shared" si="74"/>
        <v>16.803807589995451</v>
      </c>
      <c r="CG126" s="632">
        <f t="shared" si="74"/>
        <v>12.383533453227809</v>
      </c>
      <c r="CH126" s="632">
        <f t="shared" si="74"/>
        <v>15.143104994845649</v>
      </c>
      <c r="CI126" s="632">
        <f t="shared" si="74"/>
        <v>22.69905655868029</v>
      </c>
      <c r="CJ126" s="632">
        <f t="shared" si="74"/>
        <v>24.788460620060793</v>
      </c>
      <c r="CK126" s="632">
        <f t="shared" si="74"/>
        <v>9.7753017386018257</v>
      </c>
    </row>
    <row r="127" spans="2:89" s="623" customFormat="1" ht="15" customHeight="1" thickTop="1">
      <c r="C127" s="624"/>
      <c r="D127" s="625"/>
      <c r="E127" s="624"/>
      <c r="F127" s="628"/>
      <c r="H127" s="624"/>
      <c r="R127" s="629"/>
      <c r="S127" s="629"/>
    </row>
    <row r="128" spans="2:89" s="96" customFormat="1" ht="15" customHeight="1">
      <c r="C128" s="95"/>
      <c r="D128" s="556"/>
      <c r="E128" s="95"/>
      <c r="F128" s="620"/>
      <c r="H128" s="95"/>
      <c r="R128" s="621"/>
      <c r="S128" s="621"/>
    </row>
    <row r="129" spans="2:89" s="633" customFormat="1" ht="15" customHeight="1">
      <c r="B129" s="2"/>
      <c r="E129" s="662"/>
      <c r="F129" s="628"/>
      <c r="G129" s="623"/>
      <c r="H129" s="624"/>
      <c r="I129" s="623"/>
      <c r="J129" s="623"/>
      <c r="K129" s="623"/>
      <c r="L129" s="623"/>
      <c r="M129" s="623"/>
      <c r="N129" s="623"/>
      <c r="O129" s="623"/>
      <c r="P129" s="623"/>
      <c r="Q129" s="623"/>
      <c r="R129" s="629"/>
      <c r="S129" s="629"/>
    </row>
    <row r="130" spans="2:89" s="633" customFormat="1" ht="15" customHeight="1">
      <c r="C130" s="586"/>
      <c r="D130" s="95"/>
      <c r="E130" s="662"/>
      <c r="F130" s="628"/>
      <c r="G130" s="623"/>
      <c r="H130" s="624"/>
      <c r="I130" s="623"/>
      <c r="J130" s="623"/>
      <c r="K130" s="623"/>
      <c r="L130" s="623"/>
      <c r="M130" s="623"/>
      <c r="N130" s="623"/>
      <c r="O130" s="623"/>
      <c r="P130" s="623"/>
      <c r="Q130" s="623"/>
      <c r="R130" s="629"/>
      <c r="S130" s="629"/>
    </row>
    <row r="131" spans="2:89" s="633" customFormat="1" ht="15" customHeight="1">
      <c r="B131" s="666" t="s">
        <v>662</v>
      </c>
      <c r="C131" s="667" t="s">
        <v>275</v>
      </c>
      <c r="D131" s="668" t="s">
        <v>4</v>
      </c>
      <c r="E131" s="662"/>
      <c r="F131" s="628"/>
      <c r="G131" s="623"/>
      <c r="H131" s="624"/>
      <c r="I131" s="623"/>
      <c r="J131" s="623"/>
      <c r="K131" s="623"/>
      <c r="L131" s="623"/>
      <c r="M131" s="623"/>
      <c r="N131" s="623"/>
      <c r="O131" s="623"/>
      <c r="P131" s="623"/>
      <c r="Q131" s="623"/>
      <c r="R131" s="629"/>
      <c r="S131" s="629"/>
    </row>
    <row r="132" spans="2:89" s="633" customFormat="1" ht="15" customHeight="1">
      <c r="B132" s="669" t="s">
        <v>639</v>
      </c>
      <c r="C132" s="670">
        <f>NPV('2.  Scheme Wide'!E37,J132:CK132)</f>
        <v>26.989086510980055</v>
      </c>
      <c r="D132" s="671">
        <f>SUM(P132:CK132)</f>
        <v>762.01519379433807</v>
      </c>
      <c r="E132" s="662"/>
      <c r="F132" s="628"/>
      <c r="G132" s="663"/>
      <c r="H132" s="664"/>
      <c r="I132" s="663"/>
      <c r="J132" s="665">
        <v>0</v>
      </c>
      <c r="K132" s="665">
        <f t="shared" ref="K132:P132" si="75">K96</f>
        <v>0</v>
      </c>
      <c r="L132" s="665">
        <f t="shared" si="75"/>
        <v>0</v>
      </c>
      <c r="M132" s="665">
        <f t="shared" si="75"/>
        <v>0</v>
      </c>
      <c r="N132" s="665">
        <f t="shared" si="75"/>
        <v>0</v>
      </c>
      <c r="O132" s="665">
        <f t="shared" si="75"/>
        <v>0</v>
      </c>
      <c r="P132" s="665">
        <f t="shared" si="75"/>
        <v>-1.4</v>
      </c>
      <c r="Q132" s="665">
        <f t="shared" ref="Q132:CB132" si="76">Q96</f>
        <v>-1.4</v>
      </c>
      <c r="R132" s="665">
        <f t="shared" si="76"/>
        <v>-5.2</v>
      </c>
      <c r="S132" s="665">
        <f t="shared" si="76"/>
        <v>-5.0654159061084201</v>
      </c>
      <c r="T132" s="665">
        <f t="shared" si="76"/>
        <v>-19.515514131612843</v>
      </c>
      <c r="U132" s="665">
        <f t="shared" si="76"/>
        <v>-2.5155141316128429</v>
      </c>
      <c r="V132" s="665">
        <f t="shared" si="76"/>
        <v>-22.515514131612843</v>
      </c>
      <c r="W132" s="665">
        <f t="shared" si="76"/>
        <v>-3.4475784532208777</v>
      </c>
      <c r="X132" s="665">
        <f t="shared" si="76"/>
        <v>3.5844858683871585</v>
      </c>
      <c r="Y132" s="665">
        <f t="shared" si="76"/>
        <v>-8.81551413161284</v>
      </c>
      <c r="Z132" s="665">
        <f t="shared" si="76"/>
        <v>-12.115514131612844</v>
      </c>
      <c r="AA132" s="665">
        <f t="shared" si="76"/>
        <v>10.002170290497709</v>
      </c>
      <c r="AB132" s="665">
        <f t="shared" si="76"/>
        <v>7.0844858683871585</v>
      </c>
      <c r="AC132" s="665">
        <f t="shared" si="76"/>
        <v>7.3844858683871557</v>
      </c>
      <c r="AD132" s="665">
        <f t="shared" si="76"/>
        <v>13.384485868387157</v>
      </c>
      <c r="AE132" s="665">
        <f t="shared" si="76"/>
        <v>7.9524215467791208</v>
      </c>
      <c r="AF132" s="665">
        <f t="shared" si="76"/>
        <v>13.584485868387157</v>
      </c>
      <c r="AG132" s="665">
        <f t="shared" si="76"/>
        <v>2.8844858683871557</v>
      </c>
      <c r="AH132" s="665">
        <f t="shared" si="76"/>
        <v>-7.5155141316128429</v>
      </c>
      <c r="AI132" s="665">
        <f t="shared" si="76"/>
        <v>14.15242154677912</v>
      </c>
      <c r="AJ132" s="665">
        <f t="shared" si="76"/>
        <v>19.984485868387157</v>
      </c>
      <c r="AK132" s="665">
        <f t="shared" si="76"/>
        <v>6.2844858683871578</v>
      </c>
      <c r="AL132" s="665">
        <f t="shared" si="76"/>
        <v>11.684485868387156</v>
      </c>
      <c r="AM132" s="665">
        <f t="shared" si="76"/>
        <v>17.252421546779118</v>
      </c>
      <c r="AN132" s="665">
        <f t="shared" si="76"/>
        <v>0.8844858683871557</v>
      </c>
      <c r="AO132" s="665">
        <f t="shared" si="76"/>
        <v>19.884485868387159</v>
      </c>
      <c r="AP132" s="665">
        <f t="shared" si="76"/>
        <v>-16.615514131612844</v>
      </c>
      <c r="AQ132" s="665">
        <f t="shared" si="76"/>
        <v>13.80217029049771</v>
      </c>
      <c r="AR132" s="665">
        <f t="shared" si="76"/>
        <v>15.084485868387157</v>
      </c>
      <c r="AS132" s="665">
        <f t="shared" si="76"/>
        <v>11.184485868387156</v>
      </c>
      <c r="AT132" s="665">
        <f t="shared" si="76"/>
        <v>15.184485868387156</v>
      </c>
      <c r="AU132" s="665">
        <f t="shared" si="76"/>
        <v>19.452421546779121</v>
      </c>
      <c r="AV132" s="665">
        <f t="shared" si="76"/>
        <v>13.884485868387157</v>
      </c>
      <c r="AW132" s="665">
        <f t="shared" si="76"/>
        <v>18.184485868387156</v>
      </c>
      <c r="AX132" s="665">
        <f t="shared" si="76"/>
        <v>16.284485868387158</v>
      </c>
      <c r="AY132" s="665">
        <f t="shared" si="76"/>
        <v>-0.74757845322088201</v>
      </c>
      <c r="AZ132" s="665">
        <f t="shared" si="76"/>
        <v>11.884485868387156</v>
      </c>
      <c r="BA132" s="665">
        <f t="shared" si="76"/>
        <v>12.384485868387156</v>
      </c>
      <c r="BB132" s="665">
        <f t="shared" si="76"/>
        <v>18.484485868387157</v>
      </c>
      <c r="BC132" s="665">
        <f t="shared" si="76"/>
        <v>19.274415516628359</v>
      </c>
      <c r="BD132" s="665">
        <f t="shared" si="76"/>
        <v>16.884485868387159</v>
      </c>
      <c r="BE132" s="665">
        <f t="shared" si="76"/>
        <v>17.384485868387159</v>
      </c>
      <c r="BF132" s="665">
        <f t="shared" si="76"/>
        <v>11.984485868387157</v>
      </c>
      <c r="BG132" s="665">
        <f t="shared" si="76"/>
        <v>17.204425566879618</v>
      </c>
      <c r="BH132" s="665">
        <f t="shared" si="76"/>
        <v>15.284485868387158</v>
      </c>
      <c r="BI132" s="665">
        <f t="shared" si="76"/>
        <v>16.984485868387157</v>
      </c>
      <c r="BJ132" s="665">
        <f t="shared" si="76"/>
        <v>17.584485868387155</v>
      </c>
      <c r="BK132" s="665">
        <f t="shared" si="76"/>
        <v>25.034234612105745</v>
      </c>
      <c r="BL132" s="665">
        <f t="shared" si="76"/>
        <v>20.084485868387155</v>
      </c>
      <c r="BM132" s="665">
        <f t="shared" si="76"/>
        <v>11.284485868387158</v>
      </c>
      <c r="BN132" s="665">
        <f t="shared" si="76"/>
        <v>9.5844858683871585</v>
      </c>
      <c r="BO132" s="665">
        <f t="shared" si="76"/>
        <v>19.60442556687962</v>
      </c>
      <c r="BP132" s="665">
        <f t="shared" si="76"/>
        <v>20.984485868387157</v>
      </c>
      <c r="BQ132" s="665">
        <f t="shared" si="76"/>
        <v>-4.5155141316128429</v>
      </c>
      <c r="BR132" s="665">
        <f t="shared" si="76"/>
        <v>16.484485868387157</v>
      </c>
      <c r="BS132" s="665">
        <f t="shared" si="76"/>
        <v>13.904425566879617</v>
      </c>
      <c r="BT132" s="665">
        <f t="shared" si="76"/>
        <v>12.884485868387156</v>
      </c>
      <c r="BU132" s="665">
        <f t="shared" si="76"/>
        <v>-0.6155141316128443</v>
      </c>
      <c r="BV132" s="665">
        <f t="shared" si="76"/>
        <v>5.2844858683871578</v>
      </c>
      <c r="BW132" s="665">
        <f t="shared" si="76"/>
        <v>17.704425566879618</v>
      </c>
      <c r="BX132" s="665">
        <f t="shared" si="76"/>
        <v>20.284485868387158</v>
      </c>
      <c r="BY132" s="665">
        <f t="shared" si="76"/>
        <v>16.884485868387159</v>
      </c>
      <c r="BZ132" s="665">
        <f t="shared" si="76"/>
        <v>14.884485868387157</v>
      </c>
      <c r="CA132" s="665">
        <f t="shared" si="76"/>
        <v>12.004425566879618</v>
      </c>
      <c r="CB132" s="665">
        <f t="shared" si="76"/>
        <v>16.384485868387159</v>
      </c>
      <c r="CC132" s="665">
        <f t="shared" ref="CC132:CK132" si="77">CC96</f>
        <v>17.384485868387159</v>
      </c>
      <c r="CD132" s="665">
        <f t="shared" si="77"/>
        <v>20.684485868387156</v>
      </c>
      <c r="CE132" s="665">
        <f t="shared" si="77"/>
        <v>24.764244662357008</v>
      </c>
      <c r="CF132" s="665">
        <f t="shared" si="77"/>
        <v>17.984485868387157</v>
      </c>
      <c r="CG132" s="665">
        <f t="shared" si="77"/>
        <v>13.184485868387156</v>
      </c>
      <c r="CH132" s="665">
        <f t="shared" si="77"/>
        <v>15.884485868387157</v>
      </c>
      <c r="CI132" s="665">
        <f t="shared" si="77"/>
        <v>22.904425566879617</v>
      </c>
      <c r="CJ132" s="665">
        <f t="shared" si="77"/>
        <v>24.335674905775079</v>
      </c>
      <c r="CK132" s="665">
        <f t="shared" si="77"/>
        <v>9.2178374528875402</v>
      </c>
    </row>
    <row r="133" spans="2:89" s="633" customFormat="1" ht="15" customHeight="1" thickBot="1">
      <c r="B133" s="672" t="s">
        <v>384</v>
      </c>
      <c r="C133" s="675">
        <f>'1. Landuse'!C6</f>
        <v>1170</v>
      </c>
      <c r="D133" s="673">
        <f>C133</f>
        <v>1170</v>
      </c>
      <c r="E133" s="662"/>
      <c r="F133" s="628"/>
      <c r="G133" s="623"/>
      <c r="H133" s="624"/>
      <c r="I133" s="623"/>
      <c r="J133" s="623"/>
      <c r="K133" s="629"/>
      <c r="L133" s="623"/>
      <c r="M133" s="628"/>
      <c r="N133" s="623"/>
      <c r="O133" s="624"/>
      <c r="P133" s="623"/>
      <c r="Q133" s="623"/>
      <c r="R133" s="629"/>
      <c r="S133" s="629"/>
    </row>
    <row r="134" spans="2:89" s="633" customFormat="1" ht="27.95" customHeight="1" thickBot="1">
      <c r="B134" s="742" t="s">
        <v>747</v>
      </c>
      <c r="C134" s="821">
        <f>C132/C133/2.47105*1000000</f>
        <v>9335.1390334189764</v>
      </c>
      <c r="D134" s="674"/>
      <c r="E134" s="662"/>
      <c r="F134" s="628"/>
      <c r="G134" s="623"/>
      <c r="H134" s="624"/>
      <c r="I134" s="623"/>
      <c r="J134" s="623"/>
      <c r="K134" s="629"/>
      <c r="L134" s="623"/>
      <c r="M134" s="628"/>
      <c r="N134" s="623"/>
      <c r="O134" s="624"/>
      <c r="P134" s="623"/>
      <c r="Q134" s="623"/>
      <c r="R134" s="629"/>
      <c r="S134" s="629"/>
    </row>
    <row r="135" spans="2:89" s="442" customFormat="1" ht="15" customHeight="1">
      <c r="B135" s="622"/>
      <c r="C135" s="618"/>
      <c r="D135" s="619"/>
      <c r="E135" s="618"/>
      <c r="F135" s="620"/>
      <c r="G135" s="96"/>
      <c r="H135" s="95"/>
      <c r="I135" s="96"/>
      <c r="J135" s="96"/>
      <c r="K135" s="621"/>
      <c r="L135" s="96"/>
      <c r="M135" s="620"/>
      <c r="N135" s="96"/>
      <c r="O135" s="95"/>
      <c r="P135" s="96"/>
      <c r="Q135" s="96"/>
      <c r="R135" s="621"/>
      <c r="S135" s="621"/>
    </row>
    <row r="136" spans="2:89" s="442" customFormat="1" ht="15" customHeight="1">
      <c r="B136" s="689" t="s">
        <v>683</v>
      </c>
      <c r="C136" s="618"/>
      <c r="D136" s="619"/>
      <c r="E136" s="618"/>
      <c r="F136" s="620"/>
      <c r="G136" s="96"/>
      <c r="H136" s="95"/>
      <c r="I136" s="96"/>
      <c r="J136" s="96"/>
      <c r="K136" s="621"/>
      <c r="L136" s="96"/>
      <c r="M136" s="620"/>
      <c r="N136" s="96"/>
      <c r="O136" s="95"/>
      <c r="P136" s="96"/>
      <c r="Q136" s="96"/>
      <c r="R136" s="621"/>
      <c r="S136" s="621"/>
    </row>
    <row r="137" spans="2:89" s="442" customFormat="1" ht="15" customHeight="1">
      <c r="B137" s="622"/>
      <c r="C137" s="618"/>
      <c r="D137" s="619"/>
      <c r="E137" s="618"/>
      <c r="F137" s="620"/>
      <c r="G137" s="96"/>
      <c r="H137" s="95"/>
      <c r="I137" s="96"/>
      <c r="J137" s="96"/>
      <c r="K137" s="621"/>
      <c r="L137" s="96"/>
      <c r="M137" s="620"/>
      <c r="N137" s="96"/>
      <c r="O137" s="95"/>
      <c r="P137" s="96"/>
      <c r="Q137" s="96"/>
      <c r="R137" s="621"/>
      <c r="S137" s="621"/>
    </row>
    <row r="138" spans="2:89" s="442" customFormat="1" ht="15" customHeight="1">
      <c r="B138" s="622"/>
      <c r="C138" s="618"/>
      <c r="D138" s="619"/>
      <c r="E138" s="618"/>
      <c r="F138" s="620"/>
      <c r="G138" s="96"/>
      <c r="H138" s="95"/>
      <c r="I138" s="96"/>
      <c r="J138" s="96"/>
      <c r="K138" s="621"/>
      <c r="L138" s="96"/>
      <c r="M138" s="620"/>
      <c r="N138" s="96"/>
      <c r="O138" s="95"/>
      <c r="P138" s="96"/>
      <c r="Q138" s="96"/>
      <c r="R138" s="621"/>
      <c r="S138" s="621"/>
    </row>
    <row r="139" spans="2:89" s="442" customFormat="1" ht="15" customHeight="1">
      <c r="B139" s="622"/>
      <c r="C139" s="618"/>
      <c r="D139" s="619"/>
      <c r="E139" s="618"/>
      <c r="F139" s="620"/>
      <c r="G139" s="96"/>
      <c r="H139" s="95"/>
      <c r="I139" s="96"/>
      <c r="J139" s="96"/>
      <c r="K139" s="621"/>
      <c r="L139" s="96"/>
      <c r="M139" s="620"/>
      <c r="N139" s="96"/>
      <c r="O139" s="95"/>
      <c r="P139" s="96"/>
      <c r="Q139" s="96"/>
      <c r="R139" s="621"/>
      <c r="S139" s="621"/>
    </row>
    <row r="140" spans="2:89" s="442" customFormat="1" ht="15" customHeight="1">
      <c r="B140" s="622"/>
      <c r="C140" s="618"/>
      <c r="D140" s="619"/>
      <c r="E140" s="618"/>
      <c r="F140" s="620"/>
      <c r="G140" s="96"/>
      <c r="H140" s="95"/>
      <c r="I140" s="96"/>
      <c r="J140" s="96"/>
      <c r="K140" s="621"/>
      <c r="L140" s="96"/>
      <c r="M140" s="620"/>
      <c r="N140" s="96"/>
      <c r="O140" s="95"/>
      <c r="P140" s="96"/>
      <c r="Q140" s="96"/>
      <c r="R140" s="621"/>
      <c r="S140" s="621"/>
    </row>
    <row r="141" spans="2:89" s="442" customFormat="1" ht="15" customHeight="1">
      <c r="B141" s="622"/>
      <c r="C141" s="618"/>
      <c r="D141" s="619"/>
      <c r="E141" s="618"/>
      <c r="F141" s="620"/>
      <c r="G141" s="96"/>
      <c r="H141" s="95"/>
      <c r="I141" s="96"/>
      <c r="J141" s="96"/>
      <c r="K141" s="621"/>
      <c r="L141" s="96"/>
      <c r="M141" s="620"/>
      <c r="N141" s="96"/>
      <c r="O141" s="95"/>
      <c r="P141" s="96"/>
      <c r="Q141" s="96"/>
      <c r="R141" s="621"/>
      <c r="S141" s="621"/>
    </row>
    <row r="142" spans="2:89" s="442" customFormat="1" ht="15" customHeight="1">
      <c r="B142" s="622"/>
      <c r="C142" s="618"/>
      <c r="D142" s="619"/>
      <c r="E142" s="618"/>
      <c r="F142" s="620"/>
      <c r="G142" s="96"/>
      <c r="H142" s="95"/>
      <c r="I142" s="96"/>
      <c r="J142" s="96"/>
      <c r="K142" s="621"/>
      <c r="L142" s="96"/>
      <c r="M142" s="620"/>
      <c r="N142" s="96"/>
      <c r="O142" s="95"/>
      <c r="P142" s="96"/>
      <c r="Q142" s="96"/>
      <c r="R142" s="621"/>
      <c r="S142" s="621"/>
    </row>
    <row r="143" spans="2:89" s="442" customFormat="1" ht="15" customHeight="1">
      <c r="B143" s="622"/>
      <c r="C143" s="618"/>
      <c r="D143" s="619"/>
      <c r="E143" s="618"/>
      <c r="F143" s="620"/>
      <c r="G143" s="96"/>
      <c r="H143" s="95"/>
      <c r="I143" s="96"/>
      <c r="J143" s="96"/>
      <c r="K143" s="621"/>
      <c r="L143" s="96"/>
      <c r="M143" s="620"/>
      <c r="N143" s="96"/>
      <c r="O143" s="95"/>
      <c r="P143" s="96"/>
      <c r="Q143" s="96"/>
      <c r="R143" s="621"/>
      <c r="S143" s="621"/>
    </row>
    <row r="144" spans="2:89" s="442" customFormat="1" ht="15" customHeight="1">
      <c r="B144" s="622"/>
      <c r="C144" s="618"/>
      <c r="D144" s="619"/>
      <c r="E144" s="618"/>
      <c r="F144" s="620"/>
      <c r="G144" s="96"/>
      <c r="H144" s="95"/>
      <c r="I144" s="96"/>
      <c r="J144" s="96"/>
      <c r="K144" s="621"/>
      <c r="L144" s="96"/>
      <c r="M144" s="620"/>
      <c r="N144" s="96"/>
      <c r="O144" s="95"/>
      <c r="P144" s="96"/>
      <c r="Q144" s="96"/>
      <c r="R144" s="621"/>
      <c r="S144" s="621"/>
    </row>
    <row r="145" spans="2:19" s="442" customFormat="1" ht="15" customHeight="1">
      <c r="B145" s="622"/>
      <c r="C145" s="618"/>
      <c r="D145" s="619"/>
      <c r="E145" s="618"/>
      <c r="F145" s="620"/>
      <c r="G145" s="96"/>
      <c r="H145" s="95"/>
      <c r="I145" s="96"/>
      <c r="J145" s="96"/>
      <c r="K145" s="621"/>
      <c r="L145" s="96"/>
      <c r="M145" s="620"/>
      <c r="N145" s="96"/>
      <c r="O145" s="95"/>
      <c r="P145" s="96"/>
      <c r="Q145" s="96"/>
      <c r="R145" s="621"/>
      <c r="S145" s="621"/>
    </row>
    <row r="146" spans="2:19" s="442" customFormat="1" ht="15" customHeight="1">
      <c r="B146" s="622"/>
      <c r="C146" s="618"/>
      <c r="D146" s="619"/>
      <c r="E146" s="618"/>
      <c r="F146" s="620"/>
      <c r="G146" s="96"/>
      <c r="H146" s="95"/>
      <c r="I146" s="96"/>
      <c r="J146" s="96"/>
      <c r="K146" s="621"/>
      <c r="L146" s="96"/>
      <c r="M146" s="620"/>
      <c r="N146" s="96"/>
      <c r="O146" s="95"/>
      <c r="P146" s="96"/>
      <c r="Q146" s="96"/>
      <c r="R146" s="621"/>
      <c r="S146" s="621"/>
    </row>
    <row r="147" spans="2:19" s="442" customFormat="1" ht="15" customHeight="1">
      <c r="C147" s="618"/>
      <c r="D147" s="619"/>
      <c r="E147" s="618"/>
      <c r="F147" s="620"/>
      <c r="G147" s="96"/>
      <c r="H147" s="95"/>
      <c r="I147" s="96"/>
      <c r="J147" s="96"/>
      <c r="K147" s="621"/>
      <c r="L147" s="96"/>
      <c r="M147" s="620"/>
      <c r="N147" s="96"/>
      <c r="O147" s="95"/>
      <c r="P147" s="96"/>
      <c r="Q147" s="96"/>
      <c r="R147" s="621"/>
      <c r="S147" s="621"/>
    </row>
    <row r="148" spans="2:19" s="442" customFormat="1" ht="15" customHeight="1">
      <c r="C148" s="618"/>
      <c r="D148" s="619"/>
      <c r="E148" s="618"/>
      <c r="F148" s="620"/>
      <c r="G148" s="96"/>
      <c r="H148" s="95"/>
      <c r="I148" s="96"/>
      <c r="J148" s="96"/>
      <c r="K148" s="621"/>
      <c r="L148" s="96"/>
      <c r="M148" s="620"/>
      <c r="N148" s="96"/>
      <c r="O148" s="95"/>
      <c r="P148" s="96"/>
      <c r="Q148" s="96"/>
      <c r="R148" s="621"/>
      <c r="S148" s="621"/>
    </row>
    <row r="149" spans="2:19" s="442" customFormat="1" ht="15" customHeight="1">
      <c r="B149" s="622"/>
      <c r="C149" s="618"/>
      <c r="D149" s="619"/>
      <c r="E149" s="618"/>
      <c r="F149" s="620"/>
      <c r="G149" s="96"/>
      <c r="H149" s="95"/>
      <c r="I149" s="96"/>
      <c r="J149" s="96"/>
      <c r="K149" s="621"/>
      <c r="L149" s="96"/>
      <c r="M149" s="620"/>
      <c r="N149" s="96"/>
      <c r="O149" s="95"/>
      <c r="P149" s="96"/>
      <c r="Q149" s="96"/>
      <c r="R149" s="621"/>
      <c r="S149" s="621"/>
    </row>
    <row r="150" spans="2:19" s="442" customFormat="1" ht="15" customHeight="1">
      <c r="C150" s="618"/>
      <c r="D150" s="619"/>
      <c r="E150" s="618"/>
      <c r="F150" s="620"/>
      <c r="G150" s="96"/>
      <c r="H150" s="95"/>
      <c r="I150" s="96"/>
      <c r="J150" s="96"/>
      <c r="K150" s="621"/>
      <c r="L150" s="96"/>
      <c r="M150" s="620"/>
      <c r="N150" s="96"/>
      <c r="O150" s="95"/>
      <c r="P150" s="96"/>
      <c r="Q150" s="96"/>
      <c r="R150" s="621"/>
      <c r="S150" s="621"/>
    </row>
    <row r="151" spans="2:19" s="442" customFormat="1" ht="15" customHeight="1">
      <c r="C151" s="618"/>
      <c r="D151" s="619"/>
      <c r="E151" s="618"/>
      <c r="F151" s="620"/>
      <c r="G151" s="96"/>
      <c r="H151" s="95"/>
      <c r="I151" s="96"/>
      <c r="J151" s="96"/>
      <c r="K151" s="621"/>
      <c r="L151" s="96"/>
      <c r="M151" s="620"/>
      <c r="N151" s="96"/>
      <c r="O151" s="95"/>
      <c r="P151" s="96"/>
      <c r="Q151" s="96"/>
      <c r="R151" s="621"/>
      <c r="S151" s="621"/>
    </row>
    <row r="152" spans="2:19" s="442" customFormat="1" ht="15" customHeight="1">
      <c r="C152" s="618"/>
      <c r="D152" s="619"/>
      <c r="E152" s="618"/>
      <c r="F152" s="620"/>
      <c r="G152" s="96"/>
      <c r="H152" s="95"/>
      <c r="I152" s="96"/>
      <c r="J152" s="96"/>
      <c r="K152" s="621"/>
      <c r="L152" s="96"/>
      <c r="M152" s="620"/>
      <c r="N152" s="96"/>
      <c r="O152" s="95"/>
      <c r="P152" s="96"/>
      <c r="Q152" s="96"/>
      <c r="R152" s="621"/>
      <c r="S152" s="621"/>
    </row>
    <row r="153" spans="2:19" s="442" customFormat="1" ht="15" customHeight="1">
      <c r="C153" s="618"/>
      <c r="D153" s="619"/>
      <c r="E153" s="618"/>
      <c r="F153" s="620"/>
      <c r="G153" s="96"/>
      <c r="H153" s="95"/>
      <c r="I153" s="96"/>
      <c r="J153" s="96"/>
      <c r="K153" s="621"/>
      <c r="L153" s="96"/>
      <c r="M153" s="620"/>
      <c r="N153" s="96"/>
      <c r="O153" s="95"/>
      <c r="P153" s="96"/>
      <c r="Q153" s="96"/>
      <c r="R153" s="621"/>
      <c r="S153" s="621"/>
    </row>
    <row r="154" spans="2:19" s="442" customFormat="1" ht="15" customHeight="1">
      <c r="C154" s="618"/>
      <c r="D154" s="619"/>
      <c r="E154" s="618"/>
      <c r="F154" s="620"/>
      <c r="G154" s="96"/>
      <c r="H154" s="95"/>
      <c r="I154" s="96"/>
      <c r="J154" s="96"/>
      <c r="K154" s="621"/>
      <c r="L154" s="96"/>
      <c r="M154" s="620"/>
      <c r="N154" s="96"/>
      <c r="O154" s="95"/>
      <c r="P154" s="96"/>
      <c r="Q154" s="96"/>
      <c r="R154" s="621"/>
      <c r="S154" s="621"/>
    </row>
    <row r="155" spans="2:19" s="442" customFormat="1" ht="15" customHeight="1">
      <c r="C155" s="618"/>
      <c r="D155" s="619"/>
      <c r="E155" s="618"/>
      <c r="F155" s="620"/>
      <c r="G155" s="96"/>
      <c r="H155" s="95"/>
      <c r="I155" s="96"/>
      <c r="J155" s="96"/>
      <c r="K155" s="621"/>
      <c r="L155" s="96"/>
      <c r="M155" s="620"/>
      <c r="N155" s="96"/>
      <c r="O155" s="95"/>
      <c r="P155" s="96"/>
      <c r="Q155" s="96"/>
      <c r="R155" s="621"/>
      <c r="S155" s="621"/>
    </row>
    <row r="156" spans="2:19" s="442" customFormat="1" ht="15" customHeight="1">
      <c r="C156" s="618"/>
      <c r="D156" s="619"/>
      <c r="E156" s="618"/>
      <c r="F156" s="620"/>
      <c r="G156" s="96"/>
      <c r="H156" s="95"/>
      <c r="I156" s="96"/>
      <c r="J156" s="96"/>
      <c r="K156" s="621"/>
      <c r="L156" s="96"/>
      <c r="M156" s="620"/>
      <c r="N156" s="96"/>
      <c r="O156" s="95"/>
      <c r="P156" s="96"/>
      <c r="Q156" s="96"/>
      <c r="R156" s="621"/>
      <c r="S156" s="621"/>
    </row>
    <row r="157" spans="2:19" s="442" customFormat="1" ht="15" customHeight="1">
      <c r="C157" s="618"/>
      <c r="D157" s="619"/>
      <c r="E157" s="618"/>
      <c r="F157" s="620"/>
      <c r="G157" s="96"/>
      <c r="H157" s="95"/>
      <c r="I157" s="96"/>
      <c r="J157" s="96"/>
      <c r="K157" s="621"/>
      <c r="L157" s="96"/>
      <c r="M157" s="620"/>
      <c r="N157" s="96"/>
      <c r="O157" s="95"/>
      <c r="P157" s="96"/>
      <c r="Q157" s="96"/>
      <c r="R157" s="621"/>
      <c r="S157" s="621"/>
    </row>
    <row r="158" spans="2:19" s="442" customFormat="1" ht="15" customHeight="1">
      <c r="C158" s="618"/>
      <c r="D158" s="619"/>
      <c r="E158" s="618"/>
      <c r="F158" s="620"/>
      <c r="G158" s="96"/>
      <c r="H158" s="95"/>
      <c r="I158" s="96"/>
      <c r="J158" s="96"/>
      <c r="K158" s="621"/>
      <c r="L158" s="96"/>
      <c r="M158" s="620"/>
      <c r="N158" s="96"/>
      <c r="O158" s="95"/>
      <c r="P158" s="96"/>
      <c r="Q158" s="96"/>
      <c r="R158" s="621"/>
      <c r="S158" s="621"/>
    </row>
    <row r="159" spans="2:19" s="442" customFormat="1" ht="15" customHeight="1">
      <c r="C159" s="618"/>
      <c r="D159" s="619"/>
      <c r="E159" s="618"/>
      <c r="F159" s="620"/>
      <c r="G159" s="96"/>
      <c r="H159" s="95"/>
      <c r="I159" s="96"/>
      <c r="J159" s="96"/>
      <c r="K159" s="621"/>
      <c r="L159" s="96"/>
      <c r="M159" s="620"/>
      <c r="N159" s="96"/>
      <c r="O159" s="95"/>
      <c r="P159" s="96"/>
      <c r="Q159" s="96"/>
      <c r="R159" s="621"/>
      <c r="S159" s="621"/>
    </row>
    <row r="160" spans="2:19" s="442" customFormat="1" ht="15" customHeight="1">
      <c r="C160" s="618"/>
      <c r="D160" s="619"/>
      <c r="E160" s="618"/>
      <c r="F160" s="620"/>
      <c r="G160" s="96"/>
      <c r="H160" s="95"/>
      <c r="I160" s="96"/>
      <c r="J160" s="96"/>
      <c r="K160" s="621"/>
      <c r="L160" s="96"/>
      <c r="M160" s="620"/>
      <c r="N160" s="96"/>
      <c r="O160" s="95"/>
      <c r="P160" s="96"/>
      <c r="Q160" s="96"/>
      <c r="R160" s="621"/>
      <c r="S160" s="621"/>
    </row>
    <row r="161" spans="3:19" s="442" customFormat="1" ht="15" customHeight="1">
      <c r="C161" s="618"/>
      <c r="D161" s="619"/>
      <c r="E161" s="618"/>
      <c r="F161" s="620"/>
      <c r="G161" s="96"/>
      <c r="H161" s="95"/>
      <c r="I161" s="96"/>
      <c r="J161" s="96"/>
      <c r="K161" s="621"/>
      <c r="L161" s="96"/>
      <c r="M161" s="620"/>
      <c r="N161" s="96"/>
      <c r="O161" s="95"/>
      <c r="P161" s="96"/>
      <c r="Q161" s="96"/>
      <c r="R161" s="621"/>
      <c r="S161" s="621"/>
    </row>
    <row r="162" spans="3:19" s="442" customFormat="1" ht="15" customHeight="1">
      <c r="C162" s="618"/>
      <c r="D162" s="619"/>
      <c r="E162" s="618"/>
      <c r="F162" s="620"/>
      <c r="G162" s="96"/>
      <c r="H162" s="95"/>
      <c r="I162" s="96"/>
      <c r="J162" s="96"/>
      <c r="K162" s="621"/>
      <c r="L162" s="96"/>
      <c r="M162" s="620"/>
      <c r="N162" s="96"/>
      <c r="O162" s="95"/>
      <c r="P162" s="96"/>
      <c r="Q162" s="96"/>
      <c r="R162" s="621"/>
      <c r="S162" s="621"/>
    </row>
    <row r="163" spans="3:19" s="442" customFormat="1" ht="15" customHeight="1">
      <c r="C163" s="618"/>
      <c r="D163" s="619"/>
      <c r="E163" s="618"/>
      <c r="F163" s="620"/>
      <c r="G163" s="96"/>
      <c r="H163" s="95"/>
      <c r="I163" s="96"/>
      <c r="J163" s="96"/>
      <c r="K163" s="621"/>
      <c r="L163" s="96"/>
      <c r="M163" s="620"/>
      <c r="N163" s="96"/>
      <c r="O163" s="95"/>
      <c r="P163" s="96"/>
      <c r="Q163" s="96"/>
      <c r="R163" s="621"/>
      <c r="S163" s="621"/>
    </row>
    <row r="164" spans="3:19" s="442" customFormat="1" ht="15" customHeight="1">
      <c r="C164" s="618"/>
      <c r="D164" s="619"/>
      <c r="E164" s="618"/>
      <c r="F164" s="620"/>
      <c r="G164" s="96"/>
      <c r="H164" s="95"/>
      <c r="I164" s="96"/>
      <c r="J164" s="96"/>
      <c r="K164" s="621"/>
      <c r="L164" s="96"/>
      <c r="M164" s="620"/>
      <c r="N164" s="96"/>
      <c r="O164" s="95"/>
      <c r="P164" s="96"/>
      <c r="Q164" s="96"/>
      <c r="R164" s="621"/>
      <c r="S164" s="621"/>
    </row>
    <row r="165" spans="3:19" s="442" customFormat="1" ht="15" customHeight="1">
      <c r="C165" s="618"/>
      <c r="D165" s="619"/>
      <c r="E165" s="618"/>
      <c r="F165" s="620"/>
      <c r="G165" s="96"/>
      <c r="H165" s="95"/>
      <c r="I165" s="96"/>
      <c r="J165" s="96"/>
      <c r="K165" s="621"/>
      <c r="L165" s="96"/>
      <c r="M165" s="620"/>
      <c r="N165" s="96"/>
      <c r="O165" s="95"/>
      <c r="P165" s="96"/>
      <c r="Q165" s="96"/>
      <c r="R165" s="621"/>
      <c r="S165" s="621"/>
    </row>
    <row r="166" spans="3:19" s="442" customFormat="1" ht="15" customHeight="1">
      <c r="C166" s="618"/>
      <c r="D166" s="619"/>
      <c r="E166" s="618"/>
      <c r="F166" s="620"/>
      <c r="G166" s="96"/>
      <c r="H166" s="95"/>
      <c r="I166" s="96"/>
      <c r="J166" s="96"/>
      <c r="K166" s="621"/>
      <c r="L166" s="96"/>
      <c r="M166" s="620"/>
      <c r="N166" s="96"/>
      <c r="O166" s="95"/>
      <c r="P166" s="96"/>
      <c r="Q166" s="96"/>
      <c r="R166" s="621"/>
      <c r="S166" s="621"/>
    </row>
    <row r="167" spans="3:19" s="442" customFormat="1" ht="15" customHeight="1">
      <c r="C167" s="618"/>
      <c r="D167" s="619"/>
      <c r="E167" s="618"/>
      <c r="F167" s="620"/>
      <c r="G167" s="96"/>
      <c r="H167" s="95"/>
      <c r="I167" s="96"/>
      <c r="J167" s="96"/>
      <c r="K167" s="621"/>
      <c r="L167" s="96"/>
      <c r="M167" s="620"/>
      <c r="N167" s="96"/>
      <c r="O167" s="95"/>
      <c r="P167" s="96"/>
      <c r="Q167" s="96"/>
      <c r="R167" s="621"/>
      <c r="S167" s="621"/>
    </row>
    <row r="168" spans="3:19" s="442" customFormat="1" ht="15" customHeight="1">
      <c r="C168" s="618"/>
      <c r="D168" s="619"/>
      <c r="E168" s="618"/>
      <c r="F168" s="620"/>
      <c r="G168" s="96"/>
      <c r="H168" s="95"/>
      <c r="I168" s="96"/>
      <c r="J168" s="96"/>
      <c r="K168" s="621"/>
      <c r="L168" s="96"/>
      <c r="M168" s="620"/>
      <c r="N168" s="96"/>
      <c r="O168" s="95"/>
      <c r="P168" s="96"/>
      <c r="Q168" s="96"/>
      <c r="R168" s="621"/>
      <c r="S168" s="621"/>
    </row>
    <row r="169" spans="3:19" s="442" customFormat="1" ht="15" customHeight="1">
      <c r="C169" s="618"/>
      <c r="D169" s="619"/>
      <c r="E169" s="618"/>
      <c r="F169" s="620"/>
      <c r="G169" s="96"/>
      <c r="H169" s="95"/>
      <c r="I169" s="96"/>
      <c r="J169" s="96"/>
      <c r="K169" s="621"/>
      <c r="L169" s="96"/>
      <c r="M169" s="620"/>
      <c r="N169" s="96"/>
      <c r="O169" s="95"/>
      <c r="P169" s="96"/>
      <c r="Q169" s="96"/>
      <c r="R169" s="621"/>
      <c r="S169" s="621"/>
    </row>
    <row r="170" spans="3:19" s="442" customFormat="1" ht="15" customHeight="1">
      <c r="C170" s="618"/>
      <c r="D170" s="619"/>
      <c r="E170" s="618"/>
      <c r="F170" s="620"/>
      <c r="G170" s="96"/>
      <c r="H170" s="95"/>
      <c r="I170" s="96"/>
      <c r="J170" s="96"/>
      <c r="K170" s="621"/>
      <c r="L170" s="96"/>
      <c r="M170" s="620"/>
      <c r="N170" s="96"/>
      <c r="O170" s="95"/>
      <c r="P170" s="96"/>
      <c r="Q170" s="96"/>
      <c r="R170" s="621"/>
      <c r="S170" s="621"/>
    </row>
    <row r="171" spans="3:19" s="442" customFormat="1" ht="15" customHeight="1">
      <c r="C171" s="618"/>
      <c r="D171" s="619"/>
      <c r="E171" s="618"/>
      <c r="F171" s="620"/>
      <c r="G171" s="96"/>
      <c r="H171" s="95"/>
      <c r="I171" s="96"/>
      <c r="J171" s="96"/>
      <c r="K171" s="621"/>
      <c r="L171" s="96"/>
      <c r="M171" s="620"/>
      <c r="N171" s="96"/>
      <c r="O171" s="95"/>
      <c r="P171" s="96"/>
      <c r="Q171" s="96"/>
      <c r="R171" s="621"/>
      <c r="S171" s="621"/>
    </row>
    <row r="172" spans="3:19" s="442" customFormat="1" ht="15" customHeight="1">
      <c r="C172" s="618"/>
      <c r="D172" s="619"/>
      <c r="E172" s="618"/>
      <c r="F172" s="620"/>
      <c r="G172" s="96"/>
      <c r="H172" s="95"/>
      <c r="I172" s="96"/>
      <c r="J172" s="96"/>
      <c r="K172" s="621"/>
      <c r="L172" s="96"/>
      <c r="M172" s="620"/>
      <c r="N172" s="96"/>
      <c r="O172" s="95"/>
      <c r="P172" s="96"/>
      <c r="Q172" s="96"/>
      <c r="R172" s="621"/>
      <c r="S172" s="621"/>
    </row>
    <row r="173" spans="3:19" s="442" customFormat="1" ht="15" customHeight="1">
      <c r="C173" s="618"/>
      <c r="D173" s="619"/>
      <c r="E173" s="618"/>
      <c r="F173" s="620"/>
      <c r="G173" s="96"/>
      <c r="H173" s="95"/>
      <c r="I173" s="96"/>
      <c r="J173" s="96"/>
      <c r="K173" s="621"/>
      <c r="L173" s="96"/>
      <c r="M173" s="620"/>
      <c r="N173" s="96"/>
      <c r="O173" s="95"/>
      <c r="P173" s="96"/>
      <c r="Q173" s="96"/>
      <c r="R173" s="621"/>
      <c r="S173" s="621"/>
    </row>
    <row r="174" spans="3:19" s="442" customFormat="1" ht="15" customHeight="1">
      <c r="C174" s="618"/>
      <c r="D174" s="619"/>
      <c r="E174" s="618"/>
      <c r="F174" s="620"/>
      <c r="G174" s="96"/>
      <c r="H174" s="95"/>
      <c r="I174" s="96"/>
      <c r="J174" s="96"/>
      <c r="K174" s="621"/>
      <c r="L174" s="96"/>
      <c r="M174" s="620"/>
      <c r="N174" s="96"/>
      <c r="O174" s="95"/>
      <c r="P174" s="96"/>
      <c r="Q174" s="96"/>
      <c r="R174" s="621"/>
      <c r="S174" s="621"/>
    </row>
    <row r="175" spans="3:19" s="442" customFormat="1" ht="15" customHeight="1">
      <c r="C175" s="618"/>
      <c r="D175" s="619"/>
      <c r="E175" s="618"/>
      <c r="F175" s="620"/>
      <c r="G175" s="96"/>
      <c r="H175" s="95"/>
      <c r="I175" s="96"/>
      <c r="J175" s="96"/>
      <c r="K175" s="621"/>
      <c r="L175" s="96"/>
      <c r="M175" s="620"/>
      <c r="N175" s="96"/>
      <c r="O175" s="95"/>
      <c r="P175" s="96"/>
      <c r="Q175" s="96"/>
      <c r="R175" s="621"/>
      <c r="S175" s="621"/>
    </row>
    <row r="176" spans="3:19" s="442" customFormat="1" ht="15" customHeight="1">
      <c r="C176" s="618"/>
      <c r="D176" s="619"/>
      <c r="E176" s="618"/>
      <c r="F176" s="620"/>
      <c r="G176" s="96"/>
      <c r="H176" s="95"/>
      <c r="I176" s="96"/>
      <c r="J176" s="96"/>
      <c r="K176" s="621"/>
      <c r="L176" s="96"/>
      <c r="M176" s="620"/>
      <c r="N176" s="96"/>
      <c r="O176" s="95"/>
      <c r="P176" s="96"/>
      <c r="Q176" s="96"/>
      <c r="R176" s="621"/>
      <c r="S176" s="621"/>
    </row>
    <row r="177" spans="3:55" s="96" customFormat="1" ht="15" customHeight="1">
      <c r="C177" s="95"/>
      <c r="D177" s="556"/>
      <c r="E177" s="95"/>
      <c r="K177" s="557"/>
      <c r="M177" s="558"/>
      <c r="R177" s="559"/>
      <c r="S177" s="559"/>
    </row>
    <row r="178" spans="3:55" s="96" customFormat="1" ht="15" customHeight="1">
      <c r="C178" s="95"/>
      <c r="D178" s="556"/>
      <c r="E178" s="95"/>
      <c r="F178" s="558"/>
      <c r="H178" s="560"/>
      <c r="K178" s="561"/>
      <c r="M178" s="558"/>
      <c r="R178" s="559"/>
      <c r="S178" s="559"/>
    </row>
    <row r="179" spans="3:55" s="96" customFormat="1" ht="15" customHeight="1">
      <c r="C179" s="95"/>
      <c r="D179" s="556"/>
      <c r="E179" s="95"/>
      <c r="F179" s="562"/>
      <c r="G179" s="562"/>
      <c r="H179" s="562"/>
      <c r="I179" s="562"/>
      <c r="J179" s="562"/>
      <c r="K179" s="562"/>
      <c r="L179" s="562"/>
      <c r="M179" s="562"/>
      <c r="N179" s="562"/>
      <c r="O179" s="562"/>
      <c r="P179" s="562"/>
      <c r="Q179" s="562"/>
      <c r="R179" s="562"/>
      <c r="S179" s="562"/>
      <c r="T179" s="562"/>
      <c r="U179" s="562"/>
      <c r="V179" s="562"/>
      <c r="W179" s="562"/>
      <c r="X179" s="562"/>
      <c r="Y179" s="562"/>
      <c r="Z179" s="562"/>
      <c r="AA179" s="562"/>
      <c r="AB179" s="562"/>
      <c r="AC179" s="562"/>
      <c r="AD179" s="562"/>
      <c r="AE179" s="562"/>
      <c r="AF179" s="562"/>
      <c r="AG179" s="562"/>
      <c r="AH179" s="562"/>
      <c r="AI179" s="562"/>
      <c r="AJ179" s="562"/>
      <c r="AK179" s="562"/>
      <c r="AL179" s="562"/>
      <c r="AM179" s="562"/>
      <c r="AN179" s="562"/>
      <c r="AO179" s="562"/>
      <c r="AP179" s="562"/>
      <c r="AQ179" s="562"/>
      <c r="AR179" s="562"/>
      <c r="AS179" s="562"/>
      <c r="AT179" s="562"/>
      <c r="AU179" s="562"/>
      <c r="AV179" s="562"/>
      <c r="AW179" s="562"/>
      <c r="AX179" s="562"/>
      <c r="AY179" s="562"/>
      <c r="AZ179" s="562"/>
      <c r="BA179" s="562"/>
      <c r="BB179" s="562"/>
      <c r="BC179" s="562"/>
    </row>
    <row r="180" spans="3:55" s="96" customFormat="1" ht="15" customHeight="1">
      <c r="C180" s="95"/>
      <c r="D180" s="556"/>
      <c r="E180" s="95"/>
      <c r="F180" s="563"/>
      <c r="G180" s="563"/>
      <c r="H180" s="563"/>
      <c r="I180" s="563"/>
      <c r="J180" s="563"/>
      <c r="K180" s="563"/>
      <c r="L180" s="563"/>
      <c r="M180" s="563"/>
      <c r="N180" s="563"/>
      <c r="O180" s="563"/>
      <c r="P180" s="563"/>
      <c r="Q180" s="563"/>
      <c r="R180" s="563"/>
      <c r="S180" s="563"/>
      <c r="T180" s="563"/>
      <c r="U180" s="563"/>
      <c r="V180" s="563"/>
      <c r="W180" s="563"/>
      <c r="X180" s="563"/>
      <c r="Y180" s="563"/>
      <c r="Z180" s="563"/>
      <c r="AA180" s="563"/>
      <c r="AB180" s="563"/>
      <c r="AC180" s="563"/>
      <c r="AD180" s="563"/>
      <c r="AE180" s="563"/>
      <c r="AF180" s="563"/>
      <c r="AG180" s="563"/>
      <c r="AH180" s="563"/>
      <c r="AI180" s="563"/>
      <c r="AJ180" s="563"/>
      <c r="AK180" s="563"/>
      <c r="AL180" s="563"/>
      <c r="AM180" s="563"/>
      <c r="AN180" s="563"/>
      <c r="AO180" s="563"/>
      <c r="AP180" s="563"/>
      <c r="AQ180" s="563"/>
      <c r="AR180" s="563"/>
      <c r="AS180" s="563"/>
      <c r="AT180" s="563"/>
      <c r="AU180" s="563"/>
      <c r="AV180" s="563"/>
      <c r="AW180" s="563"/>
      <c r="AX180" s="563"/>
      <c r="AY180" s="563"/>
      <c r="AZ180" s="563"/>
      <c r="BA180" s="563"/>
      <c r="BB180" s="563"/>
      <c r="BC180" s="563"/>
    </row>
    <row r="181" spans="3:55" s="96" customFormat="1" ht="15" customHeight="1">
      <c r="C181" s="95"/>
      <c r="D181" s="556"/>
      <c r="E181" s="95"/>
      <c r="F181" s="562"/>
      <c r="G181" s="562"/>
      <c r="H181" s="562"/>
      <c r="I181" s="562"/>
      <c r="J181" s="562"/>
      <c r="K181" s="562"/>
      <c r="L181" s="562"/>
      <c r="M181" s="562"/>
      <c r="N181" s="562"/>
      <c r="O181" s="562"/>
      <c r="P181" s="562"/>
      <c r="Q181" s="562"/>
      <c r="R181" s="562"/>
      <c r="S181" s="562"/>
      <c r="T181" s="562"/>
      <c r="U181" s="562"/>
      <c r="V181" s="562"/>
      <c r="W181" s="562"/>
      <c r="X181" s="562"/>
      <c r="Y181" s="562"/>
      <c r="Z181" s="562"/>
      <c r="AA181" s="562"/>
      <c r="AB181" s="562"/>
      <c r="AC181" s="562"/>
      <c r="AD181" s="562"/>
      <c r="AE181" s="562"/>
      <c r="AF181" s="562"/>
      <c r="AG181" s="562"/>
      <c r="AH181" s="562"/>
      <c r="AI181" s="562"/>
      <c r="AJ181" s="562"/>
      <c r="AK181" s="562"/>
      <c r="AL181" s="562"/>
      <c r="AM181" s="562"/>
      <c r="AN181" s="562"/>
      <c r="AO181" s="562"/>
      <c r="AP181" s="562"/>
      <c r="AQ181" s="562"/>
      <c r="AR181" s="562"/>
      <c r="AS181" s="562"/>
      <c r="AT181" s="562"/>
      <c r="AU181" s="562"/>
      <c r="AV181" s="562"/>
      <c r="AW181" s="562"/>
      <c r="AX181" s="562"/>
      <c r="AY181" s="562"/>
      <c r="AZ181" s="562"/>
      <c r="BA181" s="562"/>
      <c r="BB181" s="562"/>
      <c r="BC181" s="562"/>
    </row>
    <row r="182" spans="3:55" s="96" customFormat="1" ht="15" customHeight="1">
      <c r="C182" s="95"/>
      <c r="D182" s="556"/>
      <c r="E182" s="95"/>
      <c r="F182" s="563"/>
      <c r="G182" s="563"/>
      <c r="H182" s="563"/>
      <c r="I182" s="563"/>
      <c r="J182" s="563"/>
      <c r="K182" s="563"/>
      <c r="L182" s="563"/>
      <c r="M182" s="563"/>
      <c r="N182" s="563"/>
      <c r="O182" s="563"/>
      <c r="P182" s="563"/>
      <c r="Q182" s="563"/>
      <c r="R182" s="563"/>
      <c r="S182" s="563"/>
      <c r="T182" s="563"/>
      <c r="U182" s="563"/>
      <c r="V182" s="563"/>
      <c r="W182" s="563"/>
      <c r="X182" s="563"/>
      <c r="Y182" s="563"/>
      <c r="Z182" s="563"/>
      <c r="AA182" s="563"/>
      <c r="AB182" s="563"/>
      <c r="AC182" s="563"/>
      <c r="AD182" s="563"/>
      <c r="AE182" s="563"/>
      <c r="AF182" s="563"/>
      <c r="AG182" s="563"/>
      <c r="AH182" s="563"/>
      <c r="AI182" s="563"/>
      <c r="AJ182" s="563"/>
      <c r="AK182" s="563"/>
      <c r="AL182" s="563"/>
      <c r="AM182" s="563"/>
      <c r="AN182" s="563"/>
      <c r="AO182" s="563"/>
      <c r="AP182" s="563"/>
      <c r="AQ182" s="563"/>
      <c r="AR182" s="563"/>
      <c r="AS182" s="563"/>
      <c r="AT182" s="563"/>
      <c r="AU182" s="563"/>
      <c r="AV182" s="563"/>
      <c r="AW182" s="563"/>
      <c r="AX182" s="563"/>
      <c r="AY182" s="563"/>
      <c r="AZ182" s="563"/>
      <c r="BA182" s="563"/>
      <c r="BB182" s="563"/>
      <c r="BC182" s="563"/>
    </row>
    <row r="183" spans="3:55" s="96" customFormat="1" ht="15" customHeight="1">
      <c r="C183" s="95"/>
      <c r="D183" s="556"/>
      <c r="E183" s="95"/>
    </row>
    <row r="184" spans="3:55" s="96" customFormat="1" ht="15" customHeight="1">
      <c r="C184" s="95"/>
      <c r="D184" s="556"/>
      <c r="E184" s="95"/>
    </row>
    <row r="185" spans="3:55" s="96" customFormat="1" ht="15" customHeight="1">
      <c r="E185" s="95"/>
    </row>
    <row r="186" spans="3:55" s="96" customFormat="1" ht="15" customHeight="1">
      <c r="E186" s="95"/>
      <c r="M186" s="564"/>
    </row>
    <row r="187" spans="3:55" s="96" customFormat="1" ht="15" customHeight="1">
      <c r="C187" s="95"/>
      <c r="D187" s="556"/>
      <c r="E187" s="95"/>
    </row>
    <row r="188" spans="3:55" s="96" customFormat="1" ht="15" customHeight="1">
      <c r="C188" s="95"/>
      <c r="D188" s="556"/>
      <c r="E188" s="95"/>
    </row>
    <row r="189" spans="3:55" s="96" customFormat="1" ht="15" customHeight="1">
      <c r="E189" s="95"/>
    </row>
    <row r="190" spans="3:55" s="96" customFormat="1" ht="15" customHeight="1">
      <c r="E190" s="95"/>
      <c r="M190" s="564"/>
    </row>
    <row r="191" spans="3:55" s="96" customFormat="1" ht="15" customHeight="1">
      <c r="C191" s="95"/>
      <c r="D191" s="556"/>
      <c r="E191" s="95"/>
    </row>
    <row r="192" spans="3:55" s="96" customFormat="1" ht="15" customHeight="1">
      <c r="C192" s="95"/>
      <c r="D192" s="556"/>
      <c r="E192" s="95"/>
    </row>
    <row r="193" spans="3:55" s="96" customFormat="1" ht="15" customHeight="1">
      <c r="C193" s="95"/>
      <c r="D193" s="556"/>
      <c r="E193" s="95"/>
    </row>
    <row r="194" spans="3:55" s="96" customFormat="1" ht="15" customHeight="1">
      <c r="C194" s="95"/>
      <c r="D194" s="556"/>
      <c r="E194" s="95"/>
      <c r="BC194" s="565"/>
    </row>
  </sheetData>
  <sheetProtection selectLockedCells="1"/>
  <phoneticPr fontId="7" type="noConversion"/>
  <conditionalFormatting sqref="E43 E56:E57">
    <cfRule type="cellIs" dxfId="2" priority="7" operator="notEqual">
      <formula>0</formula>
    </cfRule>
  </conditionalFormatting>
  <conditionalFormatting sqref="E50:E55 E45:E48 E59:E66">
    <cfRule type="cellIs" dxfId="1" priority="5" operator="notEqual">
      <formula>0</formula>
    </cfRule>
  </conditionalFormatting>
  <conditionalFormatting sqref="E68:E69 E71">
    <cfRule type="cellIs" dxfId="0" priority="1" operator="notEqual">
      <formula>0</formula>
    </cfRule>
  </conditionalFormatting>
  <pageMargins left="0.70866141732283472" right="0.70866141732283472" top="0.74803149606299213" bottom="0.74803149606299213" header="0.31496062992125984" footer="0.31496062992125984"/>
  <pageSetup paperSize="8" scale="41" orientation="landscape"/>
  <headerFooter>
    <oddFooter>&amp;R&amp;"Arial Narrow,Italic"&amp;8Created on: &amp;D</oddFooter>
    <evenFooter>&amp;R&amp;"Arial Narrow,Italic"&amp;8Created on: &amp;D</evenFooter>
    <firstFooter>&amp;R&amp;"Arial Narrow,Italic"&amp;8Created on: &amp;D</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7030A0"/>
    <pageSetUpPr fitToPage="1"/>
  </sheetPr>
  <dimension ref="A1:CS116"/>
  <sheetViews>
    <sheetView zoomScale="112" zoomScaleNormal="120" zoomScalePageLayoutView="75" workbookViewId="0">
      <selection activeCell="F15" sqref="F15"/>
    </sheetView>
  </sheetViews>
  <sheetFormatPr defaultColWidth="8.85546875" defaultRowHeight="12.75"/>
  <cols>
    <col min="1" max="1" width="8.85546875" style="41"/>
    <col min="2" max="2" width="31" style="41" customWidth="1"/>
    <col min="3" max="3" width="3.42578125" style="41" customWidth="1"/>
    <col min="4" max="4" width="15.42578125" style="41" customWidth="1"/>
    <col min="5" max="5" width="12.7109375" style="41" customWidth="1"/>
    <col min="6" max="16" width="11.42578125" style="41" customWidth="1"/>
    <col min="17" max="17" width="11.42578125" style="104" customWidth="1"/>
    <col min="18" max="53" width="11.42578125" style="41" customWidth="1"/>
    <col min="54" max="16384" width="8.85546875" style="41"/>
  </cols>
  <sheetData>
    <row r="1" spans="1:97" s="158" customFormat="1" ht="15" customHeight="1">
      <c r="L1" s="694">
        <f>D11/D7</f>
        <v>0.75013896609227348</v>
      </c>
      <c r="Q1" s="244"/>
    </row>
    <row r="2" spans="1:97" s="54" customFormat="1" ht="15" customHeight="1">
      <c r="A2" s="168"/>
      <c r="B2" s="164" t="s">
        <v>262</v>
      </c>
      <c r="C2" s="167"/>
      <c r="D2" s="168"/>
      <c r="E2" s="168"/>
      <c r="F2" s="168"/>
      <c r="G2" s="169"/>
      <c r="H2" s="696"/>
      <c r="I2" s="169"/>
      <c r="J2" s="168"/>
      <c r="K2" s="168"/>
      <c r="L2" s="261"/>
      <c r="M2" s="168"/>
      <c r="Q2" s="361"/>
      <c r="CJ2"/>
      <c r="CK2"/>
      <c r="CL2"/>
      <c r="CM2"/>
      <c r="CN2"/>
      <c r="CO2"/>
      <c r="CP2"/>
      <c r="CQ2"/>
      <c r="CR2"/>
    </row>
    <row r="3" spans="1:97" s="171" customFormat="1" ht="15" customHeight="1">
      <c r="A3" s="175"/>
      <c r="B3" s="253">
        <f>Cover!D6</f>
        <v>0</v>
      </c>
      <c r="C3" s="172"/>
      <c r="D3" s="172"/>
      <c r="E3" s="172"/>
      <c r="F3" s="172"/>
      <c r="G3" s="253"/>
      <c r="H3" s="254"/>
      <c r="I3" s="888">
        <f>Cover!K6</f>
        <v>0</v>
      </c>
      <c r="J3" s="889"/>
      <c r="K3" s="889"/>
      <c r="L3" s="262"/>
      <c r="M3" s="175"/>
      <c r="Q3" s="362"/>
      <c r="CJ3"/>
      <c r="CK3"/>
      <c r="CL3"/>
      <c r="CM3"/>
      <c r="CN3"/>
      <c r="CO3"/>
      <c r="CP3"/>
      <c r="CQ3"/>
      <c r="CR3"/>
    </row>
    <row r="4" spans="1:97">
      <c r="CJ4"/>
      <c r="CK4"/>
      <c r="CL4"/>
      <c r="CM4"/>
      <c r="CN4"/>
      <c r="CO4"/>
      <c r="CP4"/>
      <c r="CQ4"/>
      <c r="CR4"/>
    </row>
    <row r="5" spans="1:97" s="45" customFormat="1" ht="15.75">
      <c r="D5" s="658">
        <v>2016</v>
      </c>
      <c r="E5" s="659">
        <v>2017</v>
      </c>
      <c r="F5" s="659">
        <v>2018</v>
      </c>
      <c r="G5" s="659">
        <v>2019</v>
      </c>
      <c r="H5" s="659">
        <v>2020</v>
      </c>
      <c r="I5" s="659">
        <v>2021</v>
      </c>
      <c r="J5" s="659">
        <v>2022</v>
      </c>
      <c r="K5" s="659">
        <v>2023</v>
      </c>
      <c r="L5" s="659">
        <v>2024</v>
      </c>
      <c r="M5" s="659">
        <v>2025</v>
      </c>
      <c r="N5" s="659">
        <v>2026</v>
      </c>
      <c r="O5" s="659">
        <v>2027</v>
      </c>
      <c r="P5" s="659">
        <v>2028</v>
      </c>
      <c r="Q5" s="659">
        <v>2029</v>
      </c>
      <c r="R5" s="659">
        <v>2030</v>
      </c>
      <c r="S5" s="659">
        <v>2031</v>
      </c>
      <c r="T5" s="659">
        <v>2032</v>
      </c>
      <c r="U5" s="659">
        <v>2033</v>
      </c>
      <c r="V5" s="659">
        <v>2034</v>
      </c>
      <c r="W5" s="659">
        <v>2035</v>
      </c>
      <c r="X5" s="659">
        <v>2036</v>
      </c>
      <c r="Y5" s="659">
        <v>2037</v>
      </c>
      <c r="Z5" s="659">
        <v>2038</v>
      </c>
      <c r="AA5" s="659">
        <v>2039</v>
      </c>
      <c r="AB5" s="659">
        <v>2040</v>
      </c>
      <c r="AC5" s="659">
        <v>2041</v>
      </c>
      <c r="AD5" s="659">
        <v>2042</v>
      </c>
      <c r="AE5" s="659">
        <v>2043</v>
      </c>
      <c r="AF5" s="659">
        <v>2044</v>
      </c>
      <c r="AG5" s="659">
        <v>2045</v>
      </c>
      <c r="AH5" s="659">
        <v>2046</v>
      </c>
      <c r="AI5" s="659">
        <v>2047</v>
      </c>
      <c r="AJ5" s="659">
        <v>2048</v>
      </c>
      <c r="AK5" s="659">
        <v>2049</v>
      </c>
      <c r="AL5" s="659">
        <v>2050</v>
      </c>
      <c r="AM5" s="659">
        <v>2051</v>
      </c>
      <c r="AN5" s="659">
        <v>2052</v>
      </c>
      <c r="AO5" s="659">
        <v>2053</v>
      </c>
      <c r="AP5" s="659">
        <v>2054</v>
      </c>
      <c r="AQ5" s="659">
        <v>2055</v>
      </c>
      <c r="AR5" s="659">
        <v>2056</v>
      </c>
      <c r="AS5" s="659">
        <v>2057</v>
      </c>
      <c r="AT5" s="659">
        <v>2058</v>
      </c>
      <c r="AU5" s="659">
        <v>2059</v>
      </c>
      <c r="AV5" s="659">
        <v>2060</v>
      </c>
      <c r="AW5" s="659">
        <v>2061</v>
      </c>
      <c r="AX5" s="659">
        <v>2062</v>
      </c>
      <c r="AY5" s="659">
        <v>2063</v>
      </c>
      <c r="AZ5" s="659">
        <v>2064</v>
      </c>
      <c r="BA5" s="659">
        <v>2065</v>
      </c>
      <c r="BB5" s="659">
        <v>2066</v>
      </c>
      <c r="BC5" s="659">
        <v>2067</v>
      </c>
      <c r="BD5" s="659">
        <v>2068</v>
      </c>
      <c r="BE5" s="659">
        <v>2069</v>
      </c>
      <c r="BF5" s="659">
        <v>2070</v>
      </c>
      <c r="BG5" s="659">
        <v>2071</v>
      </c>
      <c r="BH5" s="659">
        <v>2072</v>
      </c>
      <c r="BI5" s="659">
        <v>2073</v>
      </c>
      <c r="BJ5" s="659">
        <v>2074</v>
      </c>
      <c r="BK5" s="659">
        <v>2075</v>
      </c>
      <c r="BL5" s="659">
        <v>2076</v>
      </c>
      <c r="BM5" s="659">
        <v>2077</v>
      </c>
      <c r="BN5" s="659">
        <v>2078</v>
      </c>
      <c r="BO5" s="659">
        <v>2079</v>
      </c>
      <c r="BP5" s="659">
        <v>2080</v>
      </c>
      <c r="BQ5" s="659">
        <v>2081</v>
      </c>
      <c r="BR5" s="659">
        <v>2082</v>
      </c>
      <c r="BS5" s="659">
        <v>2083</v>
      </c>
      <c r="BT5" s="659">
        <v>2084</v>
      </c>
      <c r="BU5" s="659">
        <v>2085</v>
      </c>
      <c r="BV5" s="659">
        <v>2086</v>
      </c>
      <c r="BW5" s="659">
        <v>2087</v>
      </c>
      <c r="BX5" s="659">
        <v>2088</v>
      </c>
      <c r="BY5" s="659">
        <v>2089</v>
      </c>
      <c r="BZ5" s="659">
        <v>2090</v>
      </c>
      <c r="CA5" s="659">
        <v>2091</v>
      </c>
      <c r="CB5" s="659">
        <v>2092</v>
      </c>
      <c r="CC5" s="659">
        <v>2093</v>
      </c>
      <c r="CD5" s="659">
        <v>2094</v>
      </c>
      <c r="CE5" s="659">
        <v>2095</v>
      </c>
      <c r="CF5" s="659">
        <v>2096</v>
      </c>
      <c r="CG5" s="659">
        <v>2097</v>
      </c>
      <c r="CH5" s="659">
        <v>2098</v>
      </c>
      <c r="CI5" s="659">
        <v>2099</v>
      </c>
      <c r="CJ5" s="143"/>
      <c r="CK5" s="143"/>
      <c r="CL5" s="143"/>
      <c r="CM5" s="143"/>
      <c r="CN5" s="143"/>
      <c r="CO5" s="143"/>
      <c r="CP5" s="143"/>
      <c r="CQ5" s="143"/>
      <c r="CR5" s="143"/>
      <c r="CS5" s="659">
        <v>2109</v>
      </c>
    </row>
    <row r="6" spans="1:97" ht="15.75">
      <c r="B6" s="52" t="s">
        <v>178</v>
      </c>
      <c r="D6" s="107" t="s">
        <v>5</v>
      </c>
      <c r="E6" s="107" t="s">
        <v>6</v>
      </c>
      <c r="F6" s="107" t="s">
        <v>7</v>
      </c>
      <c r="G6" s="107" t="s">
        <v>8</v>
      </c>
      <c r="H6" s="107" t="s">
        <v>9</v>
      </c>
      <c r="I6" s="107" t="s">
        <v>10</v>
      </c>
      <c r="J6" s="107" t="s">
        <v>11</v>
      </c>
      <c r="K6" s="107" t="s">
        <v>12</v>
      </c>
      <c r="L6" s="107" t="s">
        <v>13</v>
      </c>
      <c r="M6" s="107" t="s">
        <v>14</v>
      </c>
      <c r="N6" s="107" t="s">
        <v>15</v>
      </c>
      <c r="O6" s="107" t="s">
        <v>16</v>
      </c>
      <c r="P6" s="107" t="s">
        <v>17</v>
      </c>
      <c r="Q6" s="222" t="s">
        <v>18</v>
      </c>
      <c r="R6" s="107" t="s">
        <v>19</v>
      </c>
      <c r="S6" s="108" t="s">
        <v>20</v>
      </c>
      <c r="T6" s="107" t="s">
        <v>21</v>
      </c>
      <c r="U6" s="107" t="s">
        <v>22</v>
      </c>
      <c r="V6" s="107" t="s">
        <v>23</v>
      </c>
      <c r="W6" s="109" t="s">
        <v>24</v>
      </c>
      <c r="X6" s="107" t="s">
        <v>25</v>
      </c>
      <c r="Y6" s="107" t="s">
        <v>26</v>
      </c>
      <c r="Z6" s="107" t="s">
        <v>27</v>
      </c>
      <c r="AA6" s="107" t="s">
        <v>28</v>
      </c>
      <c r="AB6" s="107" t="s">
        <v>29</v>
      </c>
      <c r="AC6" s="108" t="s">
        <v>30</v>
      </c>
      <c r="AD6" s="107" t="s">
        <v>31</v>
      </c>
      <c r="AE6" s="107" t="s">
        <v>32</v>
      </c>
      <c r="AF6" s="107" t="s">
        <v>33</v>
      </c>
      <c r="AG6" s="107" t="s">
        <v>34</v>
      </c>
      <c r="AH6" s="107" t="s">
        <v>35</v>
      </c>
      <c r="AI6" s="107" t="s">
        <v>36</v>
      </c>
      <c r="AJ6" s="107" t="s">
        <v>37</v>
      </c>
      <c r="AK6" s="107" t="s">
        <v>38</v>
      </c>
      <c r="AL6" s="107" t="s">
        <v>39</v>
      </c>
      <c r="AM6" s="107" t="s">
        <v>40</v>
      </c>
      <c r="AN6" s="107" t="s">
        <v>41</v>
      </c>
      <c r="AO6" s="107" t="s">
        <v>42</v>
      </c>
      <c r="AP6" s="107" t="s">
        <v>43</v>
      </c>
      <c r="AQ6" s="107" t="s">
        <v>53</v>
      </c>
      <c r="AR6" s="107" t="s">
        <v>331</v>
      </c>
      <c r="AS6" s="107" t="s">
        <v>332</v>
      </c>
      <c r="AT6" s="107" t="s">
        <v>333</v>
      </c>
      <c r="AU6" s="107" t="s">
        <v>334</v>
      </c>
      <c r="AV6" s="107" t="s">
        <v>335</v>
      </c>
      <c r="AW6" s="107" t="s">
        <v>336</v>
      </c>
      <c r="AX6" s="107" t="s">
        <v>337</v>
      </c>
      <c r="AY6" s="107" t="s">
        <v>338</v>
      </c>
      <c r="AZ6" s="107" t="s">
        <v>339</v>
      </c>
      <c r="BA6" s="107" t="s">
        <v>340</v>
      </c>
      <c r="BB6" s="107" t="s">
        <v>478</v>
      </c>
      <c r="BC6" s="107" t="s">
        <v>479</v>
      </c>
      <c r="BD6" s="107" t="s">
        <v>480</v>
      </c>
      <c r="BE6" s="107" t="s">
        <v>481</v>
      </c>
      <c r="BF6" s="107" t="s">
        <v>482</v>
      </c>
      <c r="BG6" s="107" t="s">
        <v>483</v>
      </c>
      <c r="BH6" s="107" t="s">
        <v>484</v>
      </c>
      <c r="BI6" s="107" t="s">
        <v>485</v>
      </c>
      <c r="BJ6" s="107" t="s">
        <v>486</v>
      </c>
      <c r="BK6" s="107" t="s">
        <v>487</v>
      </c>
      <c r="BL6" s="107" t="s">
        <v>488</v>
      </c>
      <c r="BM6" s="107" t="s">
        <v>489</v>
      </c>
      <c r="BN6" s="107" t="s">
        <v>490</v>
      </c>
      <c r="BO6" s="107" t="s">
        <v>491</v>
      </c>
      <c r="BP6" s="107" t="s">
        <v>492</v>
      </c>
      <c r="BQ6" s="107" t="s">
        <v>493</v>
      </c>
      <c r="BR6" s="107" t="s">
        <v>494</v>
      </c>
      <c r="BS6" s="107" t="s">
        <v>495</v>
      </c>
      <c r="BT6" s="107" t="s">
        <v>496</v>
      </c>
      <c r="BU6" s="107" t="s">
        <v>497</v>
      </c>
      <c r="BV6" s="107" t="s">
        <v>498</v>
      </c>
      <c r="BW6" s="107" t="s">
        <v>499</v>
      </c>
      <c r="BX6" s="107" t="s">
        <v>500</v>
      </c>
      <c r="BY6" s="107" t="s">
        <v>501</v>
      </c>
      <c r="BZ6" s="107" t="s">
        <v>502</v>
      </c>
      <c r="CA6" s="107" t="s">
        <v>503</v>
      </c>
      <c r="CB6" s="107" t="s">
        <v>504</v>
      </c>
      <c r="CC6" s="107" t="s">
        <v>505</v>
      </c>
      <c r="CD6" s="107" t="s">
        <v>506</v>
      </c>
      <c r="CE6" s="107" t="s">
        <v>507</v>
      </c>
      <c r="CF6" s="107" t="s">
        <v>508</v>
      </c>
      <c r="CG6" s="107" t="s">
        <v>509</v>
      </c>
      <c r="CH6" s="107" t="s">
        <v>514</v>
      </c>
      <c r="CI6" s="107" t="s">
        <v>515</v>
      </c>
    </row>
    <row r="7" spans="1:97">
      <c r="B7" s="44" t="s">
        <v>172</v>
      </c>
      <c r="D7" s="23">
        <f>'3. Site Based'!E8</f>
        <v>3598</v>
      </c>
      <c r="E7" s="245">
        <f>D7</f>
        <v>3598</v>
      </c>
      <c r="F7" s="245">
        <f>E7</f>
        <v>3598</v>
      </c>
      <c r="G7" s="245">
        <f>F7</f>
        <v>3598</v>
      </c>
      <c r="H7" s="245">
        <f>G7+(G7*'2.  Scheme Wide'!$E$46)</f>
        <v>3598</v>
      </c>
      <c r="I7" s="245">
        <f>H7+(H7*'2.  Scheme Wide'!$E$46)</f>
        <v>3598</v>
      </c>
      <c r="J7" s="245">
        <f>I7+(I7*'2.  Scheme Wide'!$E$46)</f>
        <v>3598</v>
      </c>
      <c r="K7" s="245">
        <f>J7+(J7*'2.  Scheme Wide'!$E$46)</f>
        <v>3598</v>
      </c>
      <c r="L7" s="245">
        <f>K7+(K7*'2.  Scheme Wide'!$E$46)</f>
        <v>3598</v>
      </c>
      <c r="M7" s="245">
        <f>L7+(L7*'2.  Scheme Wide'!$E$46)</f>
        <v>3598</v>
      </c>
      <c r="N7" s="245">
        <f>M7+(M7*'2.  Scheme Wide'!$E$46)</f>
        <v>3598</v>
      </c>
      <c r="O7" s="245">
        <f>N7+(N7*'2.  Scheme Wide'!$E$46)</f>
        <v>3598</v>
      </c>
      <c r="P7" s="245">
        <f>O7+(O7*'2.  Scheme Wide'!$E$46)</f>
        <v>3598</v>
      </c>
      <c r="Q7" s="363">
        <f>P7+(P7*'2.  Scheme Wide'!$E$46)</f>
        <v>3598</v>
      </c>
      <c r="R7" s="245">
        <f>Q7+(Q7*'2.  Scheme Wide'!$E$46)</f>
        <v>3598</v>
      </c>
      <c r="S7" s="245">
        <f>R7+(R7*'2.  Scheme Wide'!$E$46)</f>
        <v>3598</v>
      </c>
      <c r="T7" s="245">
        <f>S7+(S7*'2.  Scheme Wide'!$E$46)</f>
        <v>3598</v>
      </c>
      <c r="U7" s="245">
        <f>T7+(T7*'2.  Scheme Wide'!$E$46)</f>
        <v>3598</v>
      </c>
      <c r="V7" s="245">
        <f>U7+(U7*'2.  Scheme Wide'!$E$46)</f>
        <v>3598</v>
      </c>
      <c r="W7" s="245">
        <f>V7+(V7*'2.  Scheme Wide'!$E$46)</f>
        <v>3598</v>
      </c>
      <c r="X7" s="245">
        <f>W7+(W7*'2.  Scheme Wide'!$E$46)</f>
        <v>3598</v>
      </c>
      <c r="Y7" s="245">
        <f>X7+(X7*'2.  Scheme Wide'!$E$46)</f>
        <v>3598</v>
      </c>
      <c r="Z7" s="245">
        <f>Y7+(Y7*'2.  Scheme Wide'!$E$46)</f>
        <v>3598</v>
      </c>
      <c r="AA7" s="245">
        <f>Z7+(Z7*'2.  Scheme Wide'!$E$46)</f>
        <v>3598</v>
      </c>
      <c r="AB7" s="245">
        <f>AA7+(AA7*'2.  Scheme Wide'!$E$46)</f>
        <v>3598</v>
      </c>
      <c r="AC7" s="245">
        <f>AB7+(AB7*'2.  Scheme Wide'!$E$46)</f>
        <v>3598</v>
      </c>
      <c r="AD7" s="245">
        <f>AC7+(AC7*'2.  Scheme Wide'!$E$46)</f>
        <v>3598</v>
      </c>
      <c r="AE7" s="245">
        <f>AD7+(AD7*'2.  Scheme Wide'!$E$46)</f>
        <v>3598</v>
      </c>
      <c r="AF7" s="245">
        <f>AE7+(AE7*'2.  Scheme Wide'!$E$46)</f>
        <v>3598</v>
      </c>
      <c r="AG7" s="245">
        <f>AF7+(AF7*'2.  Scheme Wide'!$E$46)</f>
        <v>3598</v>
      </c>
      <c r="AH7" s="245">
        <f>AG7+(AG7*'2.  Scheme Wide'!$E$46)</f>
        <v>3598</v>
      </c>
      <c r="AI7" s="245">
        <f>AH7+(AH7*'2.  Scheme Wide'!$E$46)</f>
        <v>3598</v>
      </c>
      <c r="AJ7" s="245">
        <f>AI7+(AI7*'2.  Scheme Wide'!$E$46)</f>
        <v>3598</v>
      </c>
      <c r="AK7" s="245">
        <f>AJ7+(AJ7*'2.  Scheme Wide'!$E$46)</f>
        <v>3598</v>
      </c>
      <c r="AL7" s="245">
        <f>AK7+(AK7*'2.  Scheme Wide'!$E$46)</f>
        <v>3598</v>
      </c>
      <c r="AM7" s="245">
        <f>AL7+(AL7*'2.  Scheme Wide'!$E$46)</f>
        <v>3598</v>
      </c>
      <c r="AN7" s="245">
        <f>AM7+(AM7*'2.  Scheme Wide'!$E$46)</f>
        <v>3598</v>
      </c>
      <c r="AO7" s="245">
        <f>AN7+(AN7*'2.  Scheme Wide'!$E$46)</f>
        <v>3598</v>
      </c>
      <c r="AP7" s="245">
        <f>AO7+(AO7*'2.  Scheme Wide'!$E$46)</f>
        <v>3598</v>
      </c>
      <c r="AQ7" s="245">
        <f>AP7+(AP7*'2.  Scheme Wide'!$E$46)</f>
        <v>3598</v>
      </c>
      <c r="AR7" s="245">
        <f>AQ7+(AQ7*'2.  Scheme Wide'!$E$46)</f>
        <v>3598</v>
      </c>
      <c r="AS7" s="245">
        <f>AR7+(AR7*'2.  Scheme Wide'!$E$46)</f>
        <v>3598</v>
      </c>
      <c r="AT7" s="245">
        <f>AS7+(AS7*'2.  Scheme Wide'!$E$46)</f>
        <v>3598</v>
      </c>
      <c r="AU7" s="245">
        <f>AT7+(AT7*'2.  Scheme Wide'!$E$46)</f>
        <v>3598</v>
      </c>
      <c r="AV7" s="245">
        <f>AU7+(AU7*'2.  Scheme Wide'!$E$46)</f>
        <v>3598</v>
      </c>
      <c r="AW7" s="245">
        <f>AV7+(AV7*'2.  Scheme Wide'!$E$46)</f>
        <v>3598</v>
      </c>
      <c r="AX7" s="245">
        <f>AW7+(AW7*'2.  Scheme Wide'!$E$46)</f>
        <v>3598</v>
      </c>
      <c r="AY7" s="245">
        <f>AX7+(AX7*'2.  Scheme Wide'!$E$46)</f>
        <v>3598</v>
      </c>
      <c r="AZ7" s="245">
        <f>AY7+(AY7*'2.  Scheme Wide'!$E$46)</f>
        <v>3598</v>
      </c>
      <c r="BA7" s="245">
        <f>AZ7+(AZ7*'2.  Scheme Wide'!$E$46)</f>
        <v>3598</v>
      </c>
      <c r="BB7" s="245">
        <f>BA7+(BA7*'2.  Scheme Wide'!$E$46)</f>
        <v>3598</v>
      </c>
      <c r="BC7" s="245">
        <f>BB7+(BB7*'2.  Scheme Wide'!$E$46)</f>
        <v>3598</v>
      </c>
      <c r="BD7" s="245">
        <f>BC7+(BC7*'2.  Scheme Wide'!$E$46)</f>
        <v>3598</v>
      </c>
      <c r="BE7" s="245">
        <f>BD7+(BD7*'2.  Scheme Wide'!$E$46)</f>
        <v>3598</v>
      </c>
      <c r="BF7" s="245">
        <f>BE7+(BE7*'2.  Scheme Wide'!$E$46)</f>
        <v>3598</v>
      </c>
      <c r="BG7" s="245">
        <f>BF7+(BF7*'2.  Scheme Wide'!$E$46)</f>
        <v>3598</v>
      </c>
      <c r="BH7" s="245">
        <f>BG7+(BG7*'2.  Scheme Wide'!$E$46)</f>
        <v>3598</v>
      </c>
      <c r="BI7" s="245">
        <f>BH7+(BH7*'2.  Scheme Wide'!$E$46)</f>
        <v>3598</v>
      </c>
      <c r="BJ7" s="245">
        <f>BI7+(BI7*'2.  Scheme Wide'!$E$46)</f>
        <v>3598</v>
      </c>
      <c r="BK7" s="245">
        <f>BJ7+(BJ7*'2.  Scheme Wide'!$E$46)</f>
        <v>3598</v>
      </c>
      <c r="BL7" s="245">
        <f>BK7+(BK7*'2.  Scheme Wide'!$E$46)</f>
        <v>3598</v>
      </c>
      <c r="BM7" s="245">
        <f>BL7+(BL7*'2.  Scheme Wide'!$E$46)</f>
        <v>3598</v>
      </c>
      <c r="BN7" s="245">
        <f>BM7+(BM7*'2.  Scheme Wide'!$E$46)</f>
        <v>3598</v>
      </c>
      <c r="BO7" s="245">
        <f>BN7+(BN7*'2.  Scheme Wide'!$E$46)</f>
        <v>3598</v>
      </c>
      <c r="BP7" s="245">
        <f>BO7+(BO7*'2.  Scheme Wide'!$E$46)</f>
        <v>3598</v>
      </c>
      <c r="BQ7" s="245">
        <f>BP7+(BP7*'2.  Scheme Wide'!$E$46)</f>
        <v>3598</v>
      </c>
      <c r="BR7" s="245">
        <f>BQ7+(BQ7*'2.  Scheme Wide'!$E$46)</f>
        <v>3598</v>
      </c>
      <c r="BS7" s="245">
        <f>BR7+(BR7*'2.  Scheme Wide'!$E$46)</f>
        <v>3598</v>
      </c>
      <c r="BT7" s="245">
        <f>BS7+(BS7*'2.  Scheme Wide'!$E$46)</f>
        <v>3598</v>
      </c>
      <c r="BU7" s="245">
        <f>BT7+(BT7*'2.  Scheme Wide'!$E$46)</f>
        <v>3598</v>
      </c>
      <c r="BV7" s="245">
        <f>BU7+(BU7*'2.  Scheme Wide'!$E$46)</f>
        <v>3598</v>
      </c>
      <c r="BW7" s="245">
        <f>BV7+(BV7*'2.  Scheme Wide'!$E$46)</f>
        <v>3598</v>
      </c>
      <c r="BX7" s="245">
        <f>BW7+(BW7*'2.  Scheme Wide'!$E$46)</f>
        <v>3598</v>
      </c>
      <c r="BY7" s="245">
        <f>BX7+(BX7*'2.  Scheme Wide'!$E$46)</f>
        <v>3598</v>
      </c>
      <c r="BZ7" s="245">
        <f>BY7+(BY7*'2.  Scheme Wide'!$E$46)</f>
        <v>3598</v>
      </c>
      <c r="CA7" s="245">
        <f>BZ7+(BZ7*'2.  Scheme Wide'!$E$46)</f>
        <v>3598</v>
      </c>
      <c r="CB7" s="245">
        <f>CA7+(CA7*'2.  Scheme Wide'!$E$46)</f>
        <v>3598</v>
      </c>
      <c r="CC7" s="245">
        <f>CB7+(CB7*'2.  Scheme Wide'!$E$46)</f>
        <v>3598</v>
      </c>
      <c r="CD7" s="245">
        <f>CC7+(CC7*'2.  Scheme Wide'!$E$46)</f>
        <v>3598</v>
      </c>
      <c r="CE7" s="245">
        <f>CD7+(CD7*'2.  Scheme Wide'!$E$46)</f>
        <v>3598</v>
      </c>
      <c r="CF7" s="245">
        <f>CE7+(CE7*'2.  Scheme Wide'!$E$46)</f>
        <v>3598</v>
      </c>
      <c r="CG7" s="245">
        <f>CF7+(CF7*'2.  Scheme Wide'!$E$46)</f>
        <v>3598</v>
      </c>
      <c r="CH7" s="245">
        <f>CG7+(CG7*'2.  Scheme Wide'!$E$46)</f>
        <v>3598</v>
      </c>
      <c r="CI7" s="245">
        <f>CH7+(CH7*'2.  Scheme Wide'!$E$46)</f>
        <v>3598</v>
      </c>
    </row>
    <row r="8" spans="1:97">
      <c r="B8" s="44" t="s">
        <v>173</v>
      </c>
      <c r="D8" s="23">
        <f>'3. Site Based'!F8</f>
        <v>3598</v>
      </c>
      <c r="E8" s="245">
        <f t="shared" ref="E8:F15" si="0">D8</f>
        <v>3598</v>
      </c>
      <c r="F8" s="245">
        <f t="shared" si="0"/>
        <v>3598</v>
      </c>
      <c r="G8" s="245">
        <f t="shared" ref="G8:G15" si="1">F8</f>
        <v>3598</v>
      </c>
      <c r="H8" s="245">
        <f>G8+(G8*'2.  Scheme Wide'!$E$46)</f>
        <v>3598</v>
      </c>
      <c r="I8" s="245">
        <f>H8+(H8*'2.  Scheme Wide'!$E$46)</f>
        <v>3598</v>
      </c>
      <c r="J8" s="245">
        <f>I8+(I8*'2.  Scheme Wide'!$E$46)</f>
        <v>3598</v>
      </c>
      <c r="K8" s="245">
        <f>J8+(J8*'2.  Scheme Wide'!$E$46)</f>
        <v>3598</v>
      </c>
      <c r="L8" s="245">
        <f>K8+(K8*'2.  Scheme Wide'!$E$46)</f>
        <v>3598</v>
      </c>
      <c r="M8" s="245">
        <f>L8+(L8*'2.  Scheme Wide'!$E$46)</f>
        <v>3598</v>
      </c>
      <c r="N8" s="245">
        <f>M8+(M8*'2.  Scheme Wide'!$E$46)</f>
        <v>3598</v>
      </c>
      <c r="O8" s="245">
        <f>N8+(N8*'2.  Scheme Wide'!$E$46)</f>
        <v>3598</v>
      </c>
      <c r="P8" s="245">
        <f>O8+(O8*'2.  Scheme Wide'!$E$46)</f>
        <v>3598</v>
      </c>
      <c r="Q8" s="363">
        <f>P8+(P8*'2.  Scheme Wide'!$E$46)</f>
        <v>3598</v>
      </c>
      <c r="R8" s="245">
        <f>Q8+(Q8*'2.  Scheme Wide'!$E$46)</f>
        <v>3598</v>
      </c>
      <c r="S8" s="245">
        <f>R8+(R8*'2.  Scheme Wide'!$E$46)</f>
        <v>3598</v>
      </c>
      <c r="T8" s="245">
        <f>S8+(S8*'2.  Scheme Wide'!$E$46)</f>
        <v>3598</v>
      </c>
      <c r="U8" s="245">
        <f>T8+(T8*'2.  Scheme Wide'!$E$46)</f>
        <v>3598</v>
      </c>
      <c r="V8" s="245">
        <f>U8+(U8*'2.  Scheme Wide'!$E$46)</f>
        <v>3598</v>
      </c>
      <c r="W8" s="245">
        <f>V8+(V8*'2.  Scheme Wide'!$E$46)</f>
        <v>3598</v>
      </c>
      <c r="X8" s="245">
        <f>W8+(W8*'2.  Scheme Wide'!$E$46)</f>
        <v>3598</v>
      </c>
      <c r="Y8" s="245">
        <f>X8+(X8*'2.  Scheme Wide'!$E$46)</f>
        <v>3598</v>
      </c>
      <c r="Z8" s="245">
        <f>Y8+(Y8*'2.  Scheme Wide'!$E$46)</f>
        <v>3598</v>
      </c>
      <c r="AA8" s="245">
        <f>Z8+(Z8*'2.  Scheme Wide'!$E$46)</f>
        <v>3598</v>
      </c>
      <c r="AB8" s="245">
        <f>AA8+(AA8*'2.  Scheme Wide'!$E$46)</f>
        <v>3598</v>
      </c>
      <c r="AC8" s="245">
        <f>AB8+(AB8*'2.  Scheme Wide'!$E$46)</f>
        <v>3598</v>
      </c>
      <c r="AD8" s="245">
        <f>AC8+(AC8*'2.  Scheme Wide'!$E$46)</f>
        <v>3598</v>
      </c>
      <c r="AE8" s="245">
        <f>AD8+(AD8*'2.  Scheme Wide'!$E$46)</f>
        <v>3598</v>
      </c>
      <c r="AF8" s="245">
        <f>AE8+(AE8*'2.  Scheme Wide'!$E$46)</f>
        <v>3598</v>
      </c>
      <c r="AG8" s="245">
        <f>AF8+(AF8*'2.  Scheme Wide'!$E$46)</f>
        <v>3598</v>
      </c>
      <c r="AH8" s="245">
        <f>AG8+(AG8*'2.  Scheme Wide'!$E$46)</f>
        <v>3598</v>
      </c>
      <c r="AI8" s="245">
        <f>AH8+(AH8*'2.  Scheme Wide'!$E$46)</f>
        <v>3598</v>
      </c>
      <c r="AJ8" s="245">
        <f>AI8+(AI8*'2.  Scheme Wide'!$E$46)</f>
        <v>3598</v>
      </c>
      <c r="AK8" s="245">
        <f>AJ8+(AJ8*'2.  Scheme Wide'!$E$46)</f>
        <v>3598</v>
      </c>
      <c r="AL8" s="245">
        <f>AK8+(AK8*'2.  Scheme Wide'!$E$46)</f>
        <v>3598</v>
      </c>
      <c r="AM8" s="245">
        <f>AL8+(AL8*'2.  Scheme Wide'!$E$46)</f>
        <v>3598</v>
      </c>
      <c r="AN8" s="245">
        <f>AM8+(AM8*'2.  Scheme Wide'!$E$46)</f>
        <v>3598</v>
      </c>
      <c r="AO8" s="245">
        <f>AN8+(AN8*'2.  Scheme Wide'!$E$46)</f>
        <v>3598</v>
      </c>
      <c r="AP8" s="245">
        <f>AO8+(AO8*'2.  Scheme Wide'!$E$46)</f>
        <v>3598</v>
      </c>
      <c r="AQ8" s="245">
        <f>AP8+(AP8*'2.  Scheme Wide'!$E$46)</f>
        <v>3598</v>
      </c>
      <c r="AR8" s="245">
        <f>AQ8+(AQ8*'2.  Scheme Wide'!$E$46)</f>
        <v>3598</v>
      </c>
      <c r="AS8" s="245">
        <f>AR8+(AR8*'2.  Scheme Wide'!$E$46)</f>
        <v>3598</v>
      </c>
      <c r="AT8" s="245">
        <f>AS8+(AS8*'2.  Scheme Wide'!$E$46)</f>
        <v>3598</v>
      </c>
      <c r="AU8" s="245">
        <f>AT8+(AT8*'2.  Scheme Wide'!$E$46)</f>
        <v>3598</v>
      </c>
      <c r="AV8" s="245">
        <f>AU8+(AU8*'2.  Scheme Wide'!$E$46)</f>
        <v>3598</v>
      </c>
      <c r="AW8" s="245">
        <f>AV8+(AV8*'2.  Scheme Wide'!$E$46)</f>
        <v>3598</v>
      </c>
      <c r="AX8" s="245">
        <f>AW8+(AW8*'2.  Scheme Wide'!$E$46)</f>
        <v>3598</v>
      </c>
      <c r="AY8" s="245">
        <f>AX8+(AX8*'2.  Scheme Wide'!$E$46)</f>
        <v>3598</v>
      </c>
      <c r="AZ8" s="245">
        <f>AY8+(AY8*'2.  Scheme Wide'!$E$46)</f>
        <v>3598</v>
      </c>
      <c r="BA8" s="245">
        <f>AZ8+(AZ8*'2.  Scheme Wide'!$E$46)</f>
        <v>3598</v>
      </c>
      <c r="BB8" s="245">
        <f>BA8+(BA8*'2.  Scheme Wide'!$E$46)</f>
        <v>3598</v>
      </c>
      <c r="BC8" s="245">
        <f>BB8+(BB8*'2.  Scheme Wide'!$E$46)</f>
        <v>3598</v>
      </c>
      <c r="BD8" s="245">
        <f>BC8+(BC8*'2.  Scheme Wide'!$E$46)</f>
        <v>3598</v>
      </c>
      <c r="BE8" s="245">
        <f>BD8+(BD8*'2.  Scheme Wide'!$E$46)</f>
        <v>3598</v>
      </c>
      <c r="BF8" s="245">
        <f>BE8+(BE8*'2.  Scheme Wide'!$E$46)</f>
        <v>3598</v>
      </c>
      <c r="BG8" s="245">
        <f>BF8+(BF8*'2.  Scheme Wide'!$E$46)</f>
        <v>3598</v>
      </c>
      <c r="BH8" s="245">
        <f>BG8+(BG8*'2.  Scheme Wide'!$E$46)</f>
        <v>3598</v>
      </c>
      <c r="BI8" s="245">
        <f>BH8+(BH8*'2.  Scheme Wide'!$E$46)</f>
        <v>3598</v>
      </c>
      <c r="BJ8" s="245">
        <f>BI8+(BI8*'2.  Scheme Wide'!$E$46)</f>
        <v>3598</v>
      </c>
      <c r="BK8" s="245">
        <f>BJ8+(BJ8*'2.  Scheme Wide'!$E$46)</f>
        <v>3598</v>
      </c>
      <c r="BL8" s="245">
        <f>BK8+(BK8*'2.  Scheme Wide'!$E$46)</f>
        <v>3598</v>
      </c>
      <c r="BM8" s="245">
        <f>BL8+(BL8*'2.  Scheme Wide'!$E$46)</f>
        <v>3598</v>
      </c>
      <c r="BN8" s="245">
        <f>BM8+(BM8*'2.  Scheme Wide'!$E$46)</f>
        <v>3598</v>
      </c>
      <c r="BO8" s="245">
        <f>BN8+(BN8*'2.  Scheme Wide'!$E$46)</f>
        <v>3598</v>
      </c>
      <c r="BP8" s="245">
        <f>BO8+(BO8*'2.  Scheme Wide'!$E$46)</f>
        <v>3598</v>
      </c>
      <c r="BQ8" s="245">
        <f>BP8+(BP8*'2.  Scheme Wide'!$E$46)</f>
        <v>3598</v>
      </c>
      <c r="BR8" s="245">
        <f>BQ8+(BQ8*'2.  Scheme Wide'!$E$46)</f>
        <v>3598</v>
      </c>
      <c r="BS8" s="245">
        <f>BR8+(BR8*'2.  Scheme Wide'!$E$46)</f>
        <v>3598</v>
      </c>
      <c r="BT8" s="245">
        <f>BS8+(BS8*'2.  Scheme Wide'!$E$46)</f>
        <v>3598</v>
      </c>
      <c r="BU8" s="245">
        <f>BT8+(BT8*'2.  Scheme Wide'!$E$46)</f>
        <v>3598</v>
      </c>
      <c r="BV8" s="245">
        <f>BU8+(BU8*'2.  Scheme Wide'!$E$46)</f>
        <v>3598</v>
      </c>
      <c r="BW8" s="245">
        <f>BV8+(BV8*'2.  Scheme Wide'!$E$46)</f>
        <v>3598</v>
      </c>
      <c r="BX8" s="245">
        <f>BW8+(BW8*'2.  Scheme Wide'!$E$46)</f>
        <v>3598</v>
      </c>
      <c r="BY8" s="245">
        <f>BX8+(BX8*'2.  Scheme Wide'!$E$46)</f>
        <v>3598</v>
      </c>
      <c r="BZ8" s="245">
        <f>BY8+(BY8*'2.  Scheme Wide'!$E$46)</f>
        <v>3598</v>
      </c>
      <c r="CA8" s="245">
        <f>BZ8+(BZ8*'2.  Scheme Wide'!$E$46)</f>
        <v>3598</v>
      </c>
      <c r="CB8" s="245">
        <f>CA8+(CA8*'2.  Scheme Wide'!$E$46)</f>
        <v>3598</v>
      </c>
      <c r="CC8" s="245">
        <f>CB8+(CB8*'2.  Scheme Wide'!$E$46)</f>
        <v>3598</v>
      </c>
      <c r="CD8" s="245">
        <f>CC8+(CC8*'2.  Scheme Wide'!$E$46)</f>
        <v>3598</v>
      </c>
      <c r="CE8" s="245">
        <f>CD8+(CD8*'2.  Scheme Wide'!$E$46)</f>
        <v>3598</v>
      </c>
      <c r="CF8" s="245">
        <f>CE8+(CE8*'2.  Scheme Wide'!$E$46)</f>
        <v>3598</v>
      </c>
      <c r="CG8" s="245">
        <f>CF8+(CF8*'2.  Scheme Wide'!$E$46)</f>
        <v>3598</v>
      </c>
      <c r="CH8" s="245">
        <f>CG8+(CG8*'2.  Scheme Wide'!$E$46)</f>
        <v>3598</v>
      </c>
      <c r="CI8" s="245">
        <f>CH8+(CH8*'2.  Scheme Wide'!$E$46)</f>
        <v>3598</v>
      </c>
    </row>
    <row r="9" spans="1:97">
      <c r="B9" s="44" t="s">
        <v>174</v>
      </c>
      <c r="D9" s="23">
        <f>'3. Site Based'!G8</f>
        <v>3598</v>
      </c>
      <c r="E9" s="245">
        <f t="shared" si="0"/>
        <v>3598</v>
      </c>
      <c r="F9" s="245">
        <f t="shared" si="0"/>
        <v>3598</v>
      </c>
      <c r="G9" s="245">
        <f t="shared" si="1"/>
        <v>3598</v>
      </c>
      <c r="H9" s="245">
        <f>G9+(G9*'2.  Scheme Wide'!$E$46)</f>
        <v>3598</v>
      </c>
      <c r="I9" s="245">
        <f>H9+(H9*'2.  Scheme Wide'!$E$46)</f>
        <v>3598</v>
      </c>
      <c r="J9" s="245">
        <f>I9+(I9*'2.  Scheme Wide'!$E$46)</f>
        <v>3598</v>
      </c>
      <c r="K9" s="245">
        <f>J9+(J9*'2.  Scheme Wide'!$E$46)</f>
        <v>3598</v>
      </c>
      <c r="L9" s="245">
        <f>K9+(K9*'2.  Scheme Wide'!$E$46)</f>
        <v>3598</v>
      </c>
      <c r="M9" s="245">
        <f>L9+(L9*'2.  Scheme Wide'!$E$46)</f>
        <v>3598</v>
      </c>
      <c r="N9" s="245">
        <f>M9+(M9*'2.  Scheme Wide'!$E$46)</f>
        <v>3598</v>
      </c>
      <c r="O9" s="245">
        <f>N9+(N9*'2.  Scheme Wide'!$E$46)</f>
        <v>3598</v>
      </c>
      <c r="P9" s="245">
        <f>O9+(O9*'2.  Scheme Wide'!$E$46)</f>
        <v>3598</v>
      </c>
      <c r="Q9" s="363">
        <f>P9+(P9*'2.  Scheme Wide'!$E$46)</f>
        <v>3598</v>
      </c>
      <c r="R9" s="245">
        <f>Q9+(Q9*'2.  Scheme Wide'!$E$46)</f>
        <v>3598</v>
      </c>
      <c r="S9" s="245">
        <f>R9+(R9*'2.  Scheme Wide'!$E$46)</f>
        <v>3598</v>
      </c>
      <c r="T9" s="245">
        <f>S9+(S9*'2.  Scheme Wide'!$E$46)</f>
        <v>3598</v>
      </c>
      <c r="U9" s="245">
        <f>T9+(T9*'2.  Scheme Wide'!$E$46)</f>
        <v>3598</v>
      </c>
      <c r="V9" s="245">
        <f>U9+(U9*'2.  Scheme Wide'!$E$46)</f>
        <v>3598</v>
      </c>
      <c r="W9" s="245">
        <f>V9+(V9*'2.  Scheme Wide'!$E$46)</f>
        <v>3598</v>
      </c>
      <c r="X9" s="245">
        <f>W9+(W9*'2.  Scheme Wide'!$E$46)</f>
        <v>3598</v>
      </c>
      <c r="Y9" s="245">
        <f>X9+(X9*'2.  Scheme Wide'!$E$46)</f>
        <v>3598</v>
      </c>
      <c r="Z9" s="245">
        <f>Y9+(Y9*'2.  Scheme Wide'!$E$46)</f>
        <v>3598</v>
      </c>
      <c r="AA9" s="245">
        <f>Z9+(Z9*'2.  Scheme Wide'!$E$46)</f>
        <v>3598</v>
      </c>
      <c r="AB9" s="245">
        <f>AA9+(AA9*'2.  Scheme Wide'!$E$46)</f>
        <v>3598</v>
      </c>
      <c r="AC9" s="245">
        <f>AB9+(AB9*'2.  Scheme Wide'!$E$46)</f>
        <v>3598</v>
      </c>
      <c r="AD9" s="245">
        <f>AC9+(AC9*'2.  Scheme Wide'!$E$46)</f>
        <v>3598</v>
      </c>
      <c r="AE9" s="245">
        <f>AD9+(AD9*'2.  Scheme Wide'!$E$46)</f>
        <v>3598</v>
      </c>
      <c r="AF9" s="245">
        <f>AE9+(AE9*'2.  Scheme Wide'!$E$46)</f>
        <v>3598</v>
      </c>
      <c r="AG9" s="245">
        <f>AF9+(AF9*'2.  Scheme Wide'!$E$46)</f>
        <v>3598</v>
      </c>
      <c r="AH9" s="245">
        <f>AG9+(AG9*'2.  Scheme Wide'!$E$46)</f>
        <v>3598</v>
      </c>
      <c r="AI9" s="245">
        <f>AH9+(AH9*'2.  Scheme Wide'!$E$46)</f>
        <v>3598</v>
      </c>
      <c r="AJ9" s="245">
        <f>AI9+(AI9*'2.  Scheme Wide'!$E$46)</f>
        <v>3598</v>
      </c>
      <c r="AK9" s="245">
        <f>AJ9+(AJ9*'2.  Scheme Wide'!$E$46)</f>
        <v>3598</v>
      </c>
      <c r="AL9" s="245">
        <f>AK9+(AK9*'2.  Scheme Wide'!$E$46)</f>
        <v>3598</v>
      </c>
      <c r="AM9" s="245">
        <f>AL9+(AL9*'2.  Scheme Wide'!$E$46)</f>
        <v>3598</v>
      </c>
      <c r="AN9" s="245">
        <f>AM9+(AM9*'2.  Scheme Wide'!$E$46)</f>
        <v>3598</v>
      </c>
      <c r="AO9" s="245">
        <f>AN9+(AN9*'2.  Scheme Wide'!$E$46)</f>
        <v>3598</v>
      </c>
      <c r="AP9" s="245">
        <f>AO9+(AO9*'2.  Scheme Wide'!$E$46)</f>
        <v>3598</v>
      </c>
      <c r="AQ9" s="245">
        <f>AP9+(AP9*'2.  Scheme Wide'!$E$46)</f>
        <v>3598</v>
      </c>
      <c r="AR9" s="245">
        <f>AQ9+(AQ9*'2.  Scheme Wide'!$E$46)</f>
        <v>3598</v>
      </c>
      <c r="AS9" s="245">
        <f>AR9+(AR9*'2.  Scheme Wide'!$E$46)</f>
        <v>3598</v>
      </c>
      <c r="AT9" s="245">
        <f>AS9+(AS9*'2.  Scheme Wide'!$E$46)</f>
        <v>3598</v>
      </c>
      <c r="AU9" s="245">
        <f>AT9+(AT9*'2.  Scheme Wide'!$E$46)</f>
        <v>3598</v>
      </c>
      <c r="AV9" s="245">
        <f>AU9+(AU9*'2.  Scheme Wide'!$E$46)</f>
        <v>3598</v>
      </c>
      <c r="AW9" s="245">
        <f>AV9+(AV9*'2.  Scheme Wide'!$E$46)</f>
        <v>3598</v>
      </c>
      <c r="AX9" s="245">
        <f>AW9+(AW9*'2.  Scheme Wide'!$E$46)</f>
        <v>3598</v>
      </c>
      <c r="AY9" s="245">
        <f>AX9+(AX9*'2.  Scheme Wide'!$E$46)</f>
        <v>3598</v>
      </c>
      <c r="AZ9" s="245">
        <f>AY9+(AY9*'2.  Scheme Wide'!$E$46)</f>
        <v>3598</v>
      </c>
      <c r="BA9" s="245">
        <f>AZ9+(AZ9*'2.  Scheme Wide'!$E$46)</f>
        <v>3598</v>
      </c>
      <c r="BB9" s="245">
        <f>BA9+(BA9*'2.  Scheme Wide'!$E$46)</f>
        <v>3598</v>
      </c>
      <c r="BC9" s="245">
        <f>BB9+(BB9*'2.  Scheme Wide'!$E$46)</f>
        <v>3598</v>
      </c>
      <c r="BD9" s="245">
        <f>BC9+(BC9*'2.  Scheme Wide'!$E$46)</f>
        <v>3598</v>
      </c>
      <c r="BE9" s="245">
        <f>BD9+(BD9*'2.  Scheme Wide'!$E$46)</f>
        <v>3598</v>
      </c>
      <c r="BF9" s="245">
        <f>BE9+(BE9*'2.  Scheme Wide'!$E$46)</f>
        <v>3598</v>
      </c>
      <c r="BG9" s="245">
        <f>BF9+(BF9*'2.  Scheme Wide'!$E$46)</f>
        <v>3598</v>
      </c>
      <c r="BH9" s="245">
        <f>BG9+(BG9*'2.  Scheme Wide'!$E$46)</f>
        <v>3598</v>
      </c>
      <c r="BI9" s="245">
        <f>BH9+(BH9*'2.  Scheme Wide'!$E$46)</f>
        <v>3598</v>
      </c>
      <c r="BJ9" s="245">
        <f>BI9+(BI9*'2.  Scheme Wide'!$E$46)</f>
        <v>3598</v>
      </c>
      <c r="BK9" s="245">
        <f>BJ9+(BJ9*'2.  Scheme Wide'!$E$46)</f>
        <v>3598</v>
      </c>
      <c r="BL9" s="245">
        <f>BK9+(BK9*'2.  Scheme Wide'!$E$46)</f>
        <v>3598</v>
      </c>
      <c r="BM9" s="245">
        <f>BL9+(BL9*'2.  Scheme Wide'!$E$46)</f>
        <v>3598</v>
      </c>
      <c r="BN9" s="245">
        <f>BM9+(BM9*'2.  Scheme Wide'!$E$46)</f>
        <v>3598</v>
      </c>
      <c r="BO9" s="245">
        <f>BN9+(BN9*'2.  Scheme Wide'!$E$46)</f>
        <v>3598</v>
      </c>
      <c r="BP9" s="245">
        <f>BO9+(BO9*'2.  Scheme Wide'!$E$46)</f>
        <v>3598</v>
      </c>
      <c r="BQ9" s="245">
        <f>BP9+(BP9*'2.  Scheme Wide'!$E$46)</f>
        <v>3598</v>
      </c>
      <c r="BR9" s="245">
        <f>BQ9+(BQ9*'2.  Scheme Wide'!$E$46)</f>
        <v>3598</v>
      </c>
      <c r="BS9" s="245">
        <f>BR9+(BR9*'2.  Scheme Wide'!$E$46)</f>
        <v>3598</v>
      </c>
      <c r="BT9" s="245">
        <f>BS9+(BS9*'2.  Scheme Wide'!$E$46)</f>
        <v>3598</v>
      </c>
      <c r="BU9" s="245">
        <f>BT9+(BT9*'2.  Scheme Wide'!$E$46)</f>
        <v>3598</v>
      </c>
      <c r="BV9" s="245">
        <f>BU9+(BU9*'2.  Scheme Wide'!$E$46)</f>
        <v>3598</v>
      </c>
      <c r="BW9" s="245">
        <f>BV9+(BV9*'2.  Scheme Wide'!$E$46)</f>
        <v>3598</v>
      </c>
      <c r="BX9" s="245">
        <f>BW9+(BW9*'2.  Scheme Wide'!$E$46)</f>
        <v>3598</v>
      </c>
      <c r="BY9" s="245">
        <f>BX9+(BX9*'2.  Scheme Wide'!$E$46)</f>
        <v>3598</v>
      </c>
      <c r="BZ9" s="245">
        <f>BY9+(BY9*'2.  Scheme Wide'!$E$46)</f>
        <v>3598</v>
      </c>
      <c r="CA9" s="245">
        <f>BZ9+(BZ9*'2.  Scheme Wide'!$E$46)</f>
        <v>3598</v>
      </c>
      <c r="CB9" s="245">
        <f>CA9+(CA9*'2.  Scheme Wide'!$E$46)</f>
        <v>3598</v>
      </c>
      <c r="CC9" s="245">
        <f>CB9+(CB9*'2.  Scheme Wide'!$E$46)</f>
        <v>3598</v>
      </c>
      <c r="CD9" s="245">
        <f>CC9+(CC9*'2.  Scheme Wide'!$E$46)</f>
        <v>3598</v>
      </c>
      <c r="CE9" s="245">
        <f>CD9+(CD9*'2.  Scheme Wide'!$E$46)</f>
        <v>3598</v>
      </c>
      <c r="CF9" s="245">
        <f>CE9+(CE9*'2.  Scheme Wide'!$E$46)</f>
        <v>3598</v>
      </c>
      <c r="CG9" s="245">
        <f>CF9+(CF9*'2.  Scheme Wide'!$E$46)</f>
        <v>3598</v>
      </c>
      <c r="CH9" s="245">
        <f>CG9+(CG9*'2.  Scheme Wide'!$E$46)</f>
        <v>3598</v>
      </c>
      <c r="CI9" s="245">
        <f>CH9+(CH9*'2.  Scheme Wide'!$E$46)</f>
        <v>3598</v>
      </c>
    </row>
    <row r="10" spans="1:97">
      <c r="B10" s="44" t="s">
        <v>175</v>
      </c>
      <c r="D10" s="23">
        <f>'3. Site Based'!I8</f>
        <v>1799</v>
      </c>
      <c r="E10" s="245">
        <f t="shared" si="0"/>
        <v>1799</v>
      </c>
      <c r="F10" s="245">
        <f t="shared" si="0"/>
        <v>1799</v>
      </c>
      <c r="G10" s="245">
        <f t="shared" si="1"/>
        <v>1799</v>
      </c>
      <c r="H10" s="245">
        <f>G10+(G10*'2.  Scheme Wide'!$E$46)</f>
        <v>1799</v>
      </c>
      <c r="I10" s="245">
        <f>H10+(H10*'2.  Scheme Wide'!$E$46)</f>
        <v>1799</v>
      </c>
      <c r="J10" s="245">
        <f>I10+(I10*'2.  Scheme Wide'!$E$46)</f>
        <v>1799</v>
      </c>
      <c r="K10" s="245">
        <f>J10+(J10*'2.  Scheme Wide'!$E$46)</f>
        <v>1799</v>
      </c>
      <c r="L10" s="245">
        <f>K10+(K10*'2.  Scheme Wide'!$E$46)</f>
        <v>1799</v>
      </c>
      <c r="M10" s="245">
        <f>L10+(L10*'2.  Scheme Wide'!$E$46)</f>
        <v>1799</v>
      </c>
      <c r="N10" s="245">
        <f>M10+(M10*'2.  Scheme Wide'!$E$46)</f>
        <v>1799</v>
      </c>
      <c r="O10" s="245">
        <f>N10+(N10*'2.  Scheme Wide'!$E$46)</f>
        <v>1799</v>
      </c>
      <c r="P10" s="245">
        <f>O10+(O10*'2.  Scheme Wide'!$E$46)</f>
        <v>1799</v>
      </c>
      <c r="Q10" s="363">
        <f>P10+(P10*'2.  Scheme Wide'!$E$46)</f>
        <v>1799</v>
      </c>
      <c r="R10" s="245">
        <f>Q10+(Q10*'2.  Scheme Wide'!$E$46)</f>
        <v>1799</v>
      </c>
      <c r="S10" s="245">
        <f>R10+(R10*'2.  Scheme Wide'!$E$46)</f>
        <v>1799</v>
      </c>
      <c r="T10" s="245">
        <f>S10+(S10*'2.  Scheme Wide'!$E$46)</f>
        <v>1799</v>
      </c>
      <c r="U10" s="245">
        <f>T10+(T10*'2.  Scheme Wide'!$E$46)</f>
        <v>1799</v>
      </c>
      <c r="V10" s="245">
        <f>U10+(U10*'2.  Scheme Wide'!$E$46)</f>
        <v>1799</v>
      </c>
      <c r="W10" s="245">
        <f>V10+(V10*'2.  Scheme Wide'!$E$46)</f>
        <v>1799</v>
      </c>
      <c r="X10" s="245">
        <f>W10+(W10*'2.  Scheme Wide'!$E$46)</f>
        <v>1799</v>
      </c>
      <c r="Y10" s="245">
        <f>X10+(X10*'2.  Scheme Wide'!$E$46)</f>
        <v>1799</v>
      </c>
      <c r="Z10" s="245">
        <f>Y10+(Y10*'2.  Scheme Wide'!$E$46)</f>
        <v>1799</v>
      </c>
      <c r="AA10" s="245">
        <f>Z10+(Z10*'2.  Scheme Wide'!$E$46)</f>
        <v>1799</v>
      </c>
      <c r="AB10" s="245">
        <f>AA10+(AA10*'2.  Scheme Wide'!$E$46)</f>
        <v>1799</v>
      </c>
      <c r="AC10" s="245">
        <f>AB10+(AB10*'2.  Scheme Wide'!$E$46)</f>
        <v>1799</v>
      </c>
      <c r="AD10" s="245">
        <f>AC10+(AC10*'2.  Scheme Wide'!$E$46)</f>
        <v>1799</v>
      </c>
      <c r="AE10" s="245">
        <f>AD10+(AD10*'2.  Scheme Wide'!$E$46)</f>
        <v>1799</v>
      </c>
      <c r="AF10" s="245">
        <f>AE10+(AE10*'2.  Scheme Wide'!$E$46)</f>
        <v>1799</v>
      </c>
      <c r="AG10" s="245">
        <f>AF10+(AF10*'2.  Scheme Wide'!$E$46)</f>
        <v>1799</v>
      </c>
      <c r="AH10" s="245">
        <f>AG10+(AG10*'2.  Scheme Wide'!$E$46)</f>
        <v>1799</v>
      </c>
      <c r="AI10" s="245">
        <f>AH10+(AH10*'2.  Scheme Wide'!$E$46)</f>
        <v>1799</v>
      </c>
      <c r="AJ10" s="245">
        <f>AI10+(AI10*'2.  Scheme Wide'!$E$46)</f>
        <v>1799</v>
      </c>
      <c r="AK10" s="245">
        <f>AJ10+(AJ10*'2.  Scheme Wide'!$E$46)</f>
        <v>1799</v>
      </c>
      <c r="AL10" s="245">
        <f>AK10+(AK10*'2.  Scheme Wide'!$E$46)</f>
        <v>1799</v>
      </c>
      <c r="AM10" s="245">
        <f>AL10+(AL10*'2.  Scheme Wide'!$E$46)</f>
        <v>1799</v>
      </c>
      <c r="AN10" s="245">
        <f>AM10+(AM10*'2.  Scheme Wide'!$E$46)</f>
        <v>1799</v>
      </c>
      <c r="AO10" s="245">
        <f>AN10+(AN10*'2.  Scheme Wide'!$E$46)</f>
        <v>1799</v>
      </c>
      <c r="AP10" s="245">
        <f>AO10+(AO10*'2.  Scheme Wide'!$E$46)</f>
        <v>1799</v>
      </c>
      <c r="AQ10" s="245">
        <f>AP10+(AP10*'2.  Scheme Wide'!$E$46)</f>
        <v>1799</v>
      </c>
      <c r="AR10" s="245">
        <f>AQ10+(AQ10*'2.  Scheme Wide'!$E$46)</f>
        <v>1799</v>
      </c>
      <c r="AS10" s="245">
        <f>AR10+(AR10*'2.  Scheme Wide'!$E$46)</f>
        <v>1799</v>
      </c>
      <c r="AT10" s="245">
        <f>AS10+(AS10*'2.  Scheme Wide'!$E$46)</f>
        <v>1799</v>
      </c>
      <c r="AU10" s="245">
        <f>AT10+(AT10*'2.  Scheme Wide'!$E$46)</f>
        <v>1799</v>
      </c>
      <c r="AV10" s="245">
        <f>AU10+(AU10*'2.  Scheme Wide'!$E$46)</f>
        <v>1799</v>
      </c>
      <c r="AW10" s="245">
        <f>AV10+(AV10*'2.  Scheme Wide'!$E$46)</f>
        <v>1799</v>
      </c>
      <c r="AX10" s="245">
        <f>AW10+(AW10*'2.  Scheme Wide'!$E$46)</f>
        <v>1799</v>
      </c>
      <c r="AY10" s="245">
        <f>AX10+(AX10*'2.  Scheme Wide'!$E$46)</f>
        <v>1799</v>
      </c>
      <c r="AZ10" s="245">
        <f>AY10+(AY10*'2.  Scheme Wide'!$E$46)</f>
        <v>1799</v>
      </c>
      <c r="BA10" s="245">
        <f>AZ10+(AZ10*'2.  Scheme Wide'!$E$46)</f>
        <v>1799</v>
      </c>
      <c r="BB10" s="245">
        <f>BA10+(BA10*'2.  Scheme Wide'!$E$46)</f>
        <v>1799</v>
      </c>
      <c r="BC10" s="245">
        <f>BB10+(BB10*'2.  Scheme Wide'!$E$46)</f>
        <v>1799</v>
      </c>
      <c r="BD10" s="245">
        <f>BC10+(BC10*'2.  Scheme Wide'!$E$46)</f>
        <v>1799</v>
      </c>
      <c r="BE10" s="245">
        <f>BD10+(BD10*'2.  Scheme Wide'!$E$46)</f>
        <v>1799</v>
      </c>
      <c r="BF10" s="245">
        <f>BE10+(BE10*'2.  Scheme Wide'!$E$46)</f>
        <v>1799</v>
      </c>
      <c r="BG10" s="245">
        <f>BF10+(BF10*'2.  Scheme Wide'!$E$46)</f>
        <v>1799</v>
      </c>
      <c r="BH10" s="245">
        <f>BG10+(BG10*'2.  Scheme Wide'!$E$46)</f>
        <v>1799</v>
      </c>
      <c r="BI10" s="245">
        <f>BH10+(BH10*'2.  Scheme Wide'!$E$46)</f>
        <v>1799</v>
      </c>
      <c r="BJ10" s="245">
        <f>BI10+(BI10*'2.  Scheme Wide'!$E$46)</f>
        <v>1799</v>
      </c>
      <c r="BK10" s="245">
        <f>BJ10+(BJ10*'2.  Scheme Wide'!$E$46)</f>
        <v>1799</v>
      </c>
      <c r="BL10" s="245">
        <f>BK10+(BK10*'2.  Scheme Wide'!$E$46)</f>
        <v>1799</v>
      </c>
      <c r="BM10" s="245">
        <f>BL10+(BL10*'2.  Scheme Wide'!$E$46)</f>
        <v>1799</v>
      </c>
      <c r="BN10" s="245">
        <f>BM10+(BM10*'2.  Scheme Wide'!$E$46)</f>
        <v>1799</v>
      </c>
      <c r="BO10" s="245">
        <f>BN10+(BN10*'2.  Scheme Wide'!$E$46)</f>
        <v>1799</v>
      </c>
      <c r="BP10" s="245">
        <f>BO10+(BO10*'2.  Scheme Wide'!$E$46)</f>
        <v>1799</v>
      </c>
      <c r="BQ10" s="245">
        <f>BP10+(BP10*'2.  Scheme Wide'!$E$46)</f>
        <v>1799</v>
      </c>
      <c r="BR10" s="245">
        <f>BQ10+(BQ10*'2.  Scheme Wide'!$E$46)</f>
        <v>1799</v>
      </c>
      <c r="BS10" s="245">
        <f>BR10+(BR10*'2.  Scheme Wide'!$E$46)</f>
        <v>1799</v>
      </c>
      <c r="BT10" s="245">
        <f>BS10+(BS10*'2.  Scheme Wide'!$E$46)</f>
        <v>1799</v>
      </c>
      <c r="BU10" s="245">
        <f>BT10+(BT10*'2.  Scheme Wide'!$E$46)</f>
        <v>1799</v>
      </c>
      <c r="BV10" s="245">
        <f>BU10+(BU10*'2.  Scheme Wide'!$E$46)</f>
        <v>1799</v>
      </c>
      <c r="BW10" s="245">
        <f>BV10+(BV10*'2.  Scheme Wide'!$E$46)</f>
        <v>1799</v>
      </c>
      <c r="BX10" s="245">
        <f>BW10+(BW10*'2.  Scheme Wide'!$E$46)</f>
        <v>1799</v>
      </c>
      <c r="BY10" s="245">
        <f>BX10+(BX10*'2.  Scheme Wide'!$E$46)</f>
        <v>1799</v>
      </c>
      <c r="BZ10" s="245">
        <f>BY10+(BY10*'2.  Scheme Wide'!$E$46)</f>
        <v>1799</v>
      </c>
      <c r="CA10" s="245">
        <f>BZ10+(BZ10*'2.  Scheme Wide'!$E$46)</f>
        <v>1799</v>
      </c>
      <c r="CB10" s="245">
        <f>CA10+(CA10*'2.  Scheme Wide'!$E$46)</f>
        <v>1799</v>
      </c>
      <c r="CC10" s="245">
        <f>CB10+(CB10*'2.  Scheme Wide'!$E$46)</f>
        <v>1799</v>
      </c>
      <c r="CD10" s="245">
        <f>CC10+(CC10*'2.  Scheme Wide'!$E$46)</f>
        <v>1799</v>
      </c>
      <c r="CE10" s="245">
        <f>CD10+(CD10*'2.  Scheme Wide'!$E$46)</f>
        <v>1799</v>
      </c>
      <c r="CF10" s="245">
        <f>CE10+(CE10*'2.  Scheme Wide'!$E$46)</f>
        <v>1799</v>
      </c>
      <c r="CG10" s="245">
        <f>CF10+(CF10*'2.  Scheme Wide'!$E$46)</f>
        <v>1799</v>
      </c>
      <c r="CH10" s="245">
        <f>CG10+(CG10*'2.  Scheme Wide'!$E$46)</f>
        <v>1799</v>
      </c>
      <c r="CI10" s="245">
        <f>CH10+(CH10*'2.  Scheme Wide'!$E$46)</f>
        <v>1799</v>
      </c>
    </row>
    <row r="11" spans="1:97">
      <c r="B11" s="44" t="s">
        <v>176</v>
      </c>
      <c r="D11" s="695">
        <v>2699</v>
      </c>
      <c r="E11" s="245">
        <f t="shared" si="0"/>
        <v>2699</v>
      </c>
      <c r="F11" s="245">
        <f t="shared" si="0"/>
        <v>2699</v>
      </c>
      <c r="G11" s="245">
        <f t="shared" si="1"/>
        <v>2699</v>
      </c>
      <c r="H11" s="245">
        <f>G11+(G11*'2.  Scheme Wide'!$E$46)</f>
        <v>2699</v>
      </c>
      <c r="I11" s="245">
        <f>H11+(H11*'2.  Scheme Wide'!$E$46)</f>
        <v>2699</v>
      </c>
      <c r="J11" s="245">
        <f>I11+(I11*'2.  Scheme Wide'!$E$46)</f>
        <v>2699</v>
      </c>
      <c r="K11" s="245">
        <f>J11+(J11*'2.  Scheme Wide'!$E$46)</f>
        <v>2699</v>
      </c>
      <c r="L11" s="245">
        <f>K11+(K11*'2.  Scheme Wide'!$E$46)</f>
        <v>2699</v>
      </c>
      <c r="M11" s="245">
        <f>L11+(L11*'2.  Scheme Wide'!$E$46)</f>
        <v>2699</v>
      </c>
      <c r="N11" s="245">
        <f>M11+(M11*'2.  Scheme Wide'!$E$46)</f>
        <v>2699</v>
      </c>
      <c r="O11" s="245">
        <f>N11+(N11*'2.  Scheme Wide'!$E$46)</f>
        <v>2699</v>
      </c>
      <c r="P11" s="245">
        <f>O11+(O11*'2.  Scheme Wide'!$E$46)</f>
        <v>2699</v>
      </c>
      <c r="Q11" s="363">
        <f>P11+(P11*'2.  Scheme Wide'!$E$46)</f>
        <v>2699</v>
      </c>
      <c r="R11" s="245">
        <f>Q11+(Q11*'2.  Scheme Wide'!$E$46)</f>
        <v>2699</v>
      </c>
      <c r="S11" s="245">
        <f>R11+(R11*'2.  Scheme Wide'!$E$46)</f>
        <v>2699</v>
      </c>
      <c r="T11" s="245">
        <f>S11+(S11*'2.  Scheme Wide'!$E$46)</f>
        <v>2699</v>
      </c>
      <c r="U11" s="245">
        <f>T11+(T11*'2.  Scheme Wide'!$E$46)</f>
        <v>2699</v>
      </c>
      <c r="V11" s="245">
        <f>U11+(U11*'2.  Scheme Wide'!$E$46)</f>
        <v>2699</v>
      </c>
      <c r="W11" s="245">
        <f>V11+(V11*'2.  Scheme Wide'!$E$46)</f>
        <v>2699</v>
      </c>
      <c r="X11" s="245">
        <f>W11+(W11*'2.  Scheme Wide'!$E$46)</f>
        <v>2699</v>
      </c>
      <c r="Y11" s="245">
        <f>X11+(X11*'2.  Scheme Wide'!$E$46)</f>
        <v>2699</v>
      </c>
      <c r="Z11" s="245">
        <f>Y11+(Y11*'2.  Scheme Wide'!$E$46)</f>
        <v>2699</v>
      </c>
      <c r="AA11" s="245">
        <f>Z11+(Z11*'2.  Scheme Wide'!$E$46)</f>
        <v>2699</v>
      </c>
      <c r="AB11" s="245">
        <f>AA11+(AA11*'2.  Scheme Wide'!$E$46)</f>
        <v>2699</v>
      </c>
      <c r="AC11" s="245">
        <f>AB11+(AB11*'2.  Scheme Wide'!$E$46)</f>
        <v>2699</v>
      </c>
      <c r="AD11" s="245">
        <f>AC11+(AC11*'2.  Scheme Wide'!$E$46)</f>
        <v>2699</v>
      </c>
      <c r="AE11" s="245">
        <f>AD11+(AD11*'2.  Scheme Wide'!$E$46)</f>
        <v>2699</v>
      </c>
      <c r="AF11" s="245">
        <f>AE11+(AE11*'2.  Scheme Wide'!$E$46)</f>
        <v>2699</v>
      </c>
      <c r="AG11" s="245">
        <f>AF11+(AF11*'2.  Scheme Wide'!$E$46)</f>
        <v>2699</v>
      </c>
      <c r="AH11" s="245">
        <f>AG11+(AG11*'2.  Scheme Wide'!$E$46)</f>
        <v>2699</v>
      </c>
      <c r="AI11" s="245">
        <f>AH11+(AH11*'2.  Scheme Wide'!$E$46)</f>
        <v>2699</v>
      </c>
      <c r="AJ11" s="245">
        <f>AI11+(AI11*'2.  Scheme Wide'!$E$46)</f>
        <v>2699</v>
      </c>
      <c r="AK11" s="245">
        <f>AJ11+(AJ11*'2.  Scheme Wide'!$E$46)</f>
        <v>2699</v>
      </c>
      <c r="AL11" s="245">
        <f>AK11+(AK11*'2.  Scheme Wide'!$E$46)</f>
        <v>2699</v>
      </c>
      <c r="AM11" s="245">
        <f>AL11+(AL11*'2.  Scheme Wide'!$E$46)</f>
        <v>2699</v>
      </c>
      <c r="AN11" s="245">
        <f>AM11+(AM11*'2.  Scheme Wide'!$E$46)</f>
        <v>2699</v>
      </c>
      <c r="AO11" s="245">
        <f>AN11+(AN11*'2.  Scheme Wide'!$E$46)</f>
        <v>2699</v>
      </c>
      <c r="AP11" s="245">
        <f>AO11+(AO11*'2.  Scheme Wide'!$E$46)</f>
        <v>2699</v>
      </c>
      <c r="AQ11" s="245">
        <f>AP11+(AP11*'2.  Scheme Wide'!$E$46)</f>
        <v>2699</v>
      </c>
      <c r="AR11" s="245">
        <f>AQ11+(AQ11*'2.  Scheme Wide'!$E$46)</f>
        <v>2699</v>
      </c>
      <c r="AS11" s="245">
        <f>AR11+(AR11*'2.  Scheme Wide'!$E$46)</f>
        <v>2699</v>
      </c>
      <c r="AT11" s="245">
        <f>AS11+(AS11*'2.  Scheme Wide'!$E$46)</f>
        <v>2699</v>
      </c>
      <c r="AU11" s="245">
        <f>AT11+(AT11*'2.  Scheme Wide'!$E$46)</f>
        <v>2699</v>
      </c>
      <c r="AV11" s="245">
        <f>AU11+(AU11*'2.  Scheme Wide'!$E$46)</f>
        <v>2699</v>
      </c>
      <c r="AW11" s="245">
        <f>AV11+(AV11*'2.  Scheme Wide'!$E$46)</f>
        <v>2699</v>
      </c>
      <c r="AX11" s="245">
        <f>AW11+(AW11*'2.  Scheme Wide'!$E$46)</f>
        <v>2699</v>
      </c>
      <c r="AY11" s="245">
        <f>AX11+(AX11*'2.  Scheme Wide'!$E$46)</f>
        <v>2699</v>
      </c>
      <c r="AZ11" s="245">
        <f>AY11+(AY11*'2.  Scheme Wide'!$E$46)</f>
        <v>2699</v>
      </c>
      <c r="BA11" s="245">
        <f>AZ11+(AZ11*'2.  Scheme Wide'!$E$46)</f>
        <v>2699</v>
      </c>
      <c r="BB11" s="245">
        <f>BA11+(BA11*'2.  Scheme Wide'!$E$46)</f>
        <v>2699</v>
      </c>
      <c r="BC11" s="245">
        <f>BB11+(BB11*'2.  Scheme Wide'!$E$46)</f>
        <v>2699</v>
      </c>
      <c r="BD11" s="245">
        <f>BC11+(BC11*'2.  Scheme Wide'!$E$46)</f>
        <v>2699</v>
      </c>
      <c r="BE11" s="245">
        <f>BD11+(BD11*'2.  Scheme Wide'!$E$46)</f>
        <v>2699</v>
      </c>
      <c r="BF11" s="245">
        <f>BE11+(BE11*'2.  Scheme Wide'!$E$46)</f>
        <v>2699</v>
      </c>
      <c r="BG11" s="245">
        <f>BF11+(BF11*'2.  Scheme Wide'!$E$46)</f>
        <v>2699</v>
      </c>
      <c r="BH11" s="245">
        <f>BG11+(BG11*'2.  Scheme Wide'!$E$46)</f>
        <v>2699</v>
      </c>
      <c r="BI11" s="245">
        <f>BH11+(BH11*'2.  Scheme Wide'!$E$46)</f>
        <v>2699</v>
      </c>
      <c r="BJ11" s="245">
        <f>BI11+(BI11*'2.  Scheme Wide'!$E$46)</f>
        <v>2699</v>
      </c>
      <c r="BK11" s="245">
        <f>BJ11+(BJ11*'2.  Scheme Wide'!$E$46)</f>
        <v>2699</v>
      </c>
      <c r="BL11" s="245">
        <f>BK11+(BK11*'2.  Scheme Wide'!$E$46)</f>
        <v>2699</v>
      </c>
      <c r="BM11" s="245">
        <f>BL11+(BL11*'2.  Scheme Wide'!$E$46)</f>
        <v>2699</v>
      </c>
      <c r="BN11" s="245">
        <f>BM11+(BM11*'2.  Scheme Wide'!$E$46)</f>
        <v>2699</v>
      </c>
      <c r="BO11" s="245">
        <f>BN11+(BN11*'2.  Scheme Wide'!$E$46)</f>
        <v>2699</v>
      </c>
      <c r="BP11" s="245">
        <f>BO11+(BO11*'2.  Scheme Wide'!$E$46)</f>
        <v>2699</v>
      </c>
      <c r="BQ11" s="245">
        <f>BP11+(BP11*'2.  Scheme Wide'!$E$46)</f>
        <v>2699</v>
      </c>
      <c r="BR11" s="245">
        <f>BQ11+(BQ11*'2.  Scheme Wide'!$E$46)</f>
        <v>2699</v>
      </c>
      <c r="BS11" s="245">
        <f>BR11+(BR11*'2.  Scheme Wide'!$E$46)</f>
        <v>2699</v>
      </c>
      <c r="BT11" s="245">
        <f>BS11+(BS11*'2.  Scheme Wide'!$E$46)</f>
        <v>2699</v>
      </c>
      <c r="BU11" s="245">
        <f>BT11+(BT11*'2.  Scheme Wide'!$E$46)</f>
        <v>2699</v>
      </c>
      <c r="BV11" s="245">
        <f>BU11+(BU11*'2.  Scheme Wide'!$E$46)</f>
        <v>2699</v>
      </c>
      <c r="BW11" s="245">
        <f>BV11+(BV11*'2.  Scheme Wide'!$E$46)</f>
        <v>2699</v>
      </c>
      <c r="BX11" s="245">
        <f>BW11+(BW11*'2.  Scheme Wide'!$E$46)</f>
        <v>2699</v>
      </c>
      <c r="BY11" s="245">
        <f>BX11+(BX11*'2.  Scheme Wide'!$E$46)</f>
        <v>2699</v>
      </c>
      <c r="BZ11" s="245">
        <f>BY11+(BY11*'2.  Scheme Wide'!$E$46)</f>
        <v>2699</v>
      </c>
      <c r="CA11" s="245">
        <f>BZ11+(BZ11*'2.  Scheme Wide'!$E$46)</f>
        <v>2699</v>
      </c>
      <c r="CB11" s="245">
        <f>CA11+(CA11*'2.  Scheme Wide'!$E$46)</f>
        <v>2699</v>
      </c>
      <c r="CC11" s="245">
        <f>CB11+(CB11*'2.  Scheme Wide'!$E$46)</f>
        <v>2699</v>
      </c>
      <c r="CD11" s="245">
        <f>CC11+(CC11*'2.  Scheme Wide'!$E$46)</f>
        <v>2699</v>
      </c>
      <c r="CE11" s="245">
        <f>CD11+(CD11*'2.  Scheme Wide'!$E$46)</f>
        <v>2699</v>
      </c>
      <c r="CF11" s="245">
        <f>CE11+(CE11*'2.  Scheme Wide'!$E$46)</f>
        <v>2699</v>
      </c>
      <c r="CG11" s="245">
        <f>CF11+(CF11*'2.  Scheme Wide'!$E$46)</f>
        <v>2699</v>
      </c>
      <c r="CH11" s="245">
        <f>CG11+(CG11*'2.  Scheme Wide'!$E$46)</f>
        <v>2699</v>
      </c>
      <c r="CI11" s="245">
        <f>CH11+(CH11*'2.  Scheme Wide'!$E$46)</f>
        <v>2699</v>
      </c>
    </row>
    <row r="12" spans="1:97">
      <c r="B12" s="44" t="s">
        <v>177</v>
      </c>
      <c r="D12" s="23">
        <f>'3. Site Based'!K8</f>
        <v>0</v>
      </c>
      <c r="E12" s="245">
        <f t="shared" si="0"/>
        <v>0</v>
      </c>
      <c r="F12" s="245">
        <f t="shared" si="0"/>
        <v>0</v>
      </c>
      <c r="G12" s="245">
        <f t="shared" si="1"/>
        <v>0</v>
      </c>
      <c r="H12" s="245">
        <f>G12+(G12*'2.  Scheme Wide'!$E$46)</f>
        <v>0</v>
      </c>
      <c r="I12" s="245">
        <f>H12+(H12*'2.  Scheme Wide'!$E$46)</f>
        <v>0</v>
      </c>
      <c r="J12" s="245">
        <f>I12+(I12*'2.  Scheme Wide'!$E$46)</f>
        <v>0</v>
      </c>
      <c r="K12" s="245">
        <f>J12+(J12*'2.  Scheme Wide'!$E$46)</f>
        <v>0</v>
      </c>
      <c r="L12" s="245">
        <f>K12+(K12*'2.  Scheme Wide'!$E$46)</f>
        <v>0</v>
      </c>
      <c r="M12" s="245">
        <f>L12+(L12*'2.  Scheme Wide'!$E$46)</f>
        <v>0</v>
      </c>
      <c r="N12" s="245">
        <f>M12+(M12*'2.  Scheme Wide'!$E$46)</f>
        <v>0</v>
      </c>
      <c r="O12" s="245">
        <f>N12+(N12*'2.  Scheme Wide'!$E$46)</f>
        <v>0</v>
      </c>
      <c r="P12" s="245">
        <f>O12+(O12*'2.  Scheme Wide'!$E$46)</f>
        <v>0</v>
      </c>
      <c r="Q12" s="363">
        <f>P12+(P12*'2.  Scheme Wide'!$E$46)</f>
        <v>0</v>
      </c>
      <c r="R12" s="245">
        <f>Q12+(Q12*'2.  Scheme Wide'!$E$46)</f>
        <v>0</v>
      </c>
      <c r="S12" s="245">
        <f>R12+(R12*'2.  Scheme Wide'!$E$46)</f>
        <v>0</v>
      </c>
      <c r="T12" s="245">
        <f>S12+(S12*'2.  Scheme Wide'!$E$46)</f>
        <v>0</v>
      </c>
      <c r="U12" s="245">
        <f>T12+(T12*'2.  Scheme Wide'!$E$46)</f>
        <v>0</v>
      </c>
      <c r="V12" s="245">
        <f>U12+(U12*'2.  Scheme Wide'!$E$46)</f>
        <v>0</v>
      </c>
      <c r="W12" s="245">
        <f>V12+(V12*'2.  Scheme Wide'!$E$46)</f>
        <v>0</v>
      </c>
      <c r="X12" s="245">
        <f>W12+(W12*'2.  Scheme Wide'!$E$46)</f>
        <v>0</v>
      </c>
      <c r="Y12" s="245">
        <f>X12+(X12*'2.  Scheme Wide'!$E$46)</f>
        <v>0</v>
      </c>
      <c r="Z12" s="245">
        <f>Y12+(Y12*'2.  Scheme Wide'!$E$46)</f>
        <v>0</v>
      </c>
      <c r="AA12" s="245">
        <f>Z12+(Z12*'2.  Scheme Wide'!$E$46)</f>
        <v>0</v>
      </c>
      <c r="AB12" s="245">
        <f>AA12+(AA12*'2.  Scheme Wide'!$E$46)</f>
        <v>0</v>
      </c>
      <c r="AC12" s="245">
        <f>AB12+(AB12*'2.  Scheme Wide'!$E$46)</f>
        <v>0</v>
      </c>
      <c r="AD12" s="245">
        <f>AC12+(AC12*'2.  Scheme Wide'!$E$46)</f>
        <v>0</v>
      </c>
      <c r="AE12" s="245">
        <f>AD12+(AD12*'2.  Scheme Wide'!$E$46)</f>
        <v>0</v>
      </c>
      <c r="AF12" s="245">
        <f>AE12+(AE12*'2.  Scheme Wide'!$E$46)</f>
        <v>0</v>
      </c>
      <c r="AG12" s="245">
        <f>AF12+(AF12*'2.  Scheme Wide'!$E$46)</f>
        <v>0</v>
      </c>
      <c r="AH12" s="245">
        <f>AG12+(AG12*'2.  Scheme Wide'!$E$46)</f>
        <v>0</v>
      </c>
      <c r="AI12" s="245">
        <f>AH12+(AH12*'2.  Scheme Wide'!$E$46)</f>
        <v>0</v>
      </c>
      <c r="AJ12" s="245">
        <f>AI12+(AI12*'2.  Scheme Wide'!$E$46)</f>
        <v>0</v>
      </c>
      <c r="AK12" s="245">
        <f>AJ12+(AJ12*'2.  Scheme Wide'!$E$46)</f>
        <v>0</v>
      </c>
      <c r="AL12" s="245">
        <f>AK12+(AK12*'2.  Scheme Wide'!$E$46)</f>
        <v>0</v>
      </c>
      <c r="AM12" s="245">
        <f>AL12+(AL12*'2.  Scheme Wide'!$E$46)</f>
        <v>0</v>
      </c>
      <c r="AN12" s="245">
        <f>AM12+(AM12*'2.  Scheme Wide'!$E$46)</f>
        <v>0</v>
      </c>
      <c r="AO12" s="245">
        <f>AN12+(AN12*'2.  Scheme Wide'!$E$46)</f>
        <v>0</v>
      </c>
      <c r="AP12" s="245">
        <f>AO12+(AO12*'2.  Scheme Wide'!$E$46)</f>
        <v>0</v>
      </c>
      <c r="AQ12" s="245">
        <f>AP12+(AP12*'2.  Scheme Wide'!$E$46)</f>
        <v>0</v>
      </c>
      <c r="AR12" s="245">
        <f>AQ12+(AQ12*'2.  Scheme Wide'!$E$46)</f>
        <v>0</v>
      </c>
      <c r="AS12" s="245">
        <f>AR12+(AR12*'2.  Scheme Wide'!$E$46)</f>
        <v>0</v>
      </c>
      <c r="AT12" s="245">
        <f>AS12+(AS12*'2.  Scheme Wide'!$E$46)</f>
        <v>0</v>
      </c>
      <c r="AU12" s="245">
        <f>AT12+(AT12*'2.  Scheme Wide'!$E$46)</f>
        <v>0</v>
      </c>
      <c r="AV12" s="245">
        <f>AU12+(AU12*'2.  Scheme Wide'!$E$46)</f>
        <v>0</v>
      </c>
      <c r="AW12" s="245">
        <f>AV12+(AV12*'2.  Scheme Wide'!$E$46)</f>
        <v>0</v>
      </c>
      <c r="AX12" s="245">
        <f>AW12+(AW12*'2.  Scheme Wide'!$E$46)</f>
        <v>0</v>
      </c>
      <c r="AY12" s="245">
        <f>AX12+(AX12*'2.  Scheme Wide'!$E$46)</f>
        <v>0</v>
      </c>
      <c r="AZ12" s="245">
        <f>AY12+(AY12*'2.  Scheme Wide'!$E$46)</f>
        <v>0</v>
      </c>
      <c r="BA12" s="245">
        <f>AZ12+(AZ12*'2.  Scheme Wide'!$E$46)</f>
        <v>0</v>
      </c>
      <c r="BB12" s="245">
        <f>BA12+(BA12*'2.  Scheme Wide'!$E$46)</f>
        <v>0</v>
      </c>
      <c r="BC12" s="245">
        <f>BB12+(BB12*'2.  Scheme Wide'!$E$46)</f>
        <v>0</v>
      </c>
      <c r="BD12" s="245">
        <f>BC12+(BC12*'2.  Scheme Wide'!$E$46)</f>
        <v>0</v>
      </c>
      <c r="BE12" s="245">
        <f>BD12+(BD12*'2.  Scheme Wide'!$E$46)</f>
        <v>0</v>
      </c>
      <c r="BF12" s="245">
        <f>BE12+(BE12*'2.  Scheme Wide'!$E$46)</f>
        <v>0</v>
      </c>
      <c r="BG12" s="245">
        <f>BF12+(BF12*'2.  Scheme Wide'!$E$46)</f>
        <v>0</v>
      </c>
      <c r="BH12" s="245">
        <f>BG12+(BG12*'2.  Scheme Wide'!$E$46)</f>
        <v>0</v>
      </c>
      <c r="BI12" s="245">
        <f>BH12+(BH12*'2.  Scheme Wide'!$E$46)</f>
        <v>0</v>
      </c>
      <c r="BJ12" s="245">
        <f>BI12+(BI12*'2.  Scheme Wide'!$E$46)</f>
        <v>0</v>
      </c>
      <c r="BK12" s="245">
        <f>BJ12+(BJ12*'2.  Scheme Wide'!$E$46)</f>
        <v>0</v>
      </c>
      <c r="BL12" s="245">
        <f>BK12+(BK12*'2.  Scheme Wide'!$E$46)</f>
        <v>0</v>
      </c>
      <c r="BM12" s="245">
        <f>BL12+(BL12*'2.  Scheme Wide'!$E$46)</f>
        <v>0</v>
      </c>
      <c r="BN12" s="245">
        <f>BM12+(BM12*'2.  Scheme Wide'!$E$46)</f>
        <v>0</v>
      </c>
      <c r="BO12" s="245">
        <f>BN12+(BN12*'2.  Scheme Wide'!$E$46)</f>
        <v>0</v>
      </c>
      <c r="BP12" s="245">
        <f>BO12+(BO12*'2.  Scheme Wide'!$E$46)</f>
        <v>0</v>
      </c>
      <c r="BQ12" s="245">
        <f>BP12+(BP12*'2.  Scheme Wide'!$E$46)</f>
        <v>0</v>
      </c>
      <c r="BR12" s="245">
        <f>BQ12+(BQ12*'2.  Scheme Wide'!$E$46)</f>
        <v>0</v>
      </c>
      <c r="BS12" s="245">
        <f>BR12+(BR12*'2.  Scheme Wide'!$E$46)</f>
        <v>0</v>
      </c>
      <c r="BT12" s="245">
        <f>BS12+(BS12*'2.  Scheme Wide'!$E$46)</f>
        <v>0</v>
      </c>
      <c r="BU12" s="245">
        <f>BT12+(BT12*'2.  Scheme Wide'!$E$46)</f>
        <v>0</v>
      </c>
      <c r="BV12" s="245">
        <f>BU12+(BU12*'2.  Scheme Wide'!$E$46)</f>
        <v>0</v>
      </c>
      <c r="BW12" s="245">
        <f>BV12+(BV12*'2.  Scheme Wide'!$E$46)</f>
        <v>0</v>
      </c>
      <c r="BX12" s="245">
        <f>BW12+(BW12*'2.  Scheme Wide'!$E$46)</f>
        <v>0</v>
      </c>
      <c r="BY12" s="245">
        <f>BX12+(BX12*'2.  Scheme Wide'!$E$46)</f>
        <v>0</v>
      </c>
      <c r="BZ12" s="245">
        <f>BY12+(BY12*'2.  Scheme Wide'!$E$46)</f>
        <v>0</v>
      </c>
      <c r="CA12" s="245">
        <f>BZ12+(BZ12*'2.  Scheme Wide'!$E$46)</f>
        <v>0</v>
      </c>
      <c r="CB12" s="245">
        <f>CA12+(CA12*'2.  Scheme Wide'!$E$46)</f>
        <v>0</v>
      </c>
      <c r="CC12" s="245">
        <f>CB12+(CB12*'2.  Scheme Wide'!$E$46)</f>
        <v>0</v>
      </c>
      <c r="CD12" s="245">
        <f>CC12+(CC12*'2.  Scheme Wide'!$E$46)</f>
        <v>0</v>
      </c>
      <c r="CE12" s="245">
        <f>CD12+(CD12*'2.  Scheme Wide'!$E$46)</f>
        <v>0</v>
      </c>
      <c r="CF12" s="245">
        <f>CE12+(CE12*'2.  Scheme Wide'!$E$46)</f>
        <v>0</v>
      </c>
      <c r="CG12" s="245">
        <f>CF12+(CF12*'2.  Scheme Wide'!$E$46)</f>
        <v>0</v>
      </c>
      <c r="CH12" s="245">
        <f>CG12+(CG12*'2.  Scheme Wide'!$E$46)</f>
        <v>0</v>
      </c>
      <c r="CI12" s="245">
        <f>CH12+(CH12*'2.  Scheme Wide'!$E$46)</f>
        <v>0</v>
      </c>
    </row>
    <row r="13" spans="1:97">
      <c r="B13" s="44" t="s">
        <v>207</v>
      </c>
      <c r="D13" s="23">
        <f>'3. Site Based'!E27</f>
        <v>0</v>
      </c>
      <c r="E13" s="245">
        <f t="shared" si="0"/>
        <v>0</v>
      </c>
      <c r="F13" s="245">
        <f t="shared" si="0"/>
        <v>0</v>
      </c>
      <c r="G13" s="245">
        <f t="shared" si="1"/>
        <v>0</v>
      </c>
      <c r="H13" s="245">
        <f>G13+(G13*'2.  Scheme Wide'!$E$46)</f>
        <v>0</v>
      </c>
      <c r="I13" s="245">
        <f>H13+(H13*'2.  Scheme Wide'!$E$46)</f>
        <v>0</v>
      </c>
      <c r="J13" s="245">
        <f>I13+(I13*'2.  Scheme Wide'!$E$46)</f>
        <v>0</v>
      </c>
      <c r="K13" s="245">
        <f>J13+(J13*'2.  Scheme Wide'!$E$46)</f>
        <v>0</v>
      </c>
      <c r="L13" s="245">
        <f>K13+(K13*'2.  Scheme Wide'!$E$46)</f>
        <v>0</v>
      </c>
      <c r="M13" s="245">
        <f>L13+(L13*'2.  Scheme Wide'!$E$46)</f>
        <v>0</v>
      </c>
      <c r="N13" s="245">
        <f>M13+(M13*'2.  Scheme Wide'!$E$46)</f>
        <v>0</v>
      </c>
      <c r="O13" s="245">
        <f>N13+(N13*'2.  Scheme Wide'!$E$46)</f>
        <v>0</v>
      </c>
      <c r="P13" s="245">
        <f>O13+(O13*'2.  Scheme Wide'!$E$46)</f>
        <v>0</v>
      </c>
      <c r="Q13" s="363">
        <f>P13+(P13*'2.  Scheme Wide'!$E$46)</f>
        <v>0</v>
      </c>
      <c r="R13" s="245">
        <f>Q13+(Q13*'2.  Scheme Wide'!$E$46)</f>
        <v>0</v>
      </c>
      <c r="S13" s="245">
        <f>R13+(R13*'2.  Scheme Wide'!$E$46)</f>
        <v>0</v>
      </c>
      <c r="T13" s="245">
        <f>S13+(S13*'2.  Scheme Wide'!$E$46)</f>
        <v>0</v>
      </c>
      <c r="U13" s="245">
        <f>T13+(T13*'2.  Scheme Wide'!$E$46)</f>
        <v>0</v>
      </c>
      <c r="V13" s="245">
        <f>U13+(U13*'2.  Scheme Wide'!$E$46)</f>
        <v>0</v>
      </c>
      <c r="W13" s="245">
        <f>V13+(V13*'2.  Scheme Wide'!$E$46)</f>
        <v>0</v>
      </c>
      <c r="X13" s="245">
        <f>W13+(W13*'2.  Scheme Wide'!$E$46)</f>
        <v>0</v>
      </c>
      <c r="Y13" s="245">
        <f>X13+(X13*'2.  Scheme Wide'!$E$46)</f>
        <v>0</v>
      </c>
      <c r="Z13" s="245">
        <f>Y13+(Y13*'2.  Scheme Wide'!$E$46)</f>
        <v>0</v>
      </c>
      <c r="AA13" s="245">
        <f>Z13+(Z13*'2.  Scheme Wide'!$E$46)</f>
        <v>0</v>
      </c>
      <c r="AB13" s="245">
        <f>AA13+(AA13*'2.  Scheme Wide'!$E$46)</f>
        <v>0</v>
      </c>
      <c r="AC13" s="245">
        <f>AB13+(AB13*'2.  Scheme Wide'!$E$46)</f>
        <v>0</v>
      </c>
      <c r="AD13" s="245">
        <f>AC13+(AC13*'2.  Scheme Wide'!$E$46)</f>
        <v>0</v>
      </c>
      <c r="AE13" s="245">
        <f>AD13+(AD13*'2.  Scheme Wide'!$E$46)</f>
        <v>0</v>
      </c>
      <c r="AF13" s="245">
        <f>AE13+(AE13*'2.  Scheme Wide'!$E$46)</f>
        <v>0</v>
      </c>
      <c r="AG13" s="245">
        <f>AF13+(AF13*'2.  Scheme Wide'!$E$46)</f>
        <v>0</v>
      </c>
      <c r="AH13" s="245">
        <f>AG13+(AG13*'2.  Scheme Wide'!$E$46)</f>
        <v>0</v>
      </c>
      <c r="AI13" s="245">
        <f>AH13+(AH13*'2.  Scheme Wide'!$E$46)</f>
        <v>0</v>
      </c>
      <c r="AJ13" s="245">
        <f>AI13+(AI13*'2.  Scheme Wide'!$E$46)</f>
        <v>0</v>
      </c>
      <c r="AK13" s="245">
        <f>AJ13+(AJ13*'2.  Scheme Wide'!$E$46)</f>
        <v>0</v>
      </c>
      <c r="AL13" s="245">
        <f>AK13+(AK13*'2.  Scheme Wide'!$E$46)</f>
        <v>0</v>
      </c>
      <c r="AM13" s="245">
        <f>AL13+(AL13*'2.  Scheme Wide'!$E$46)</f>
        <v>0</v>
      </c>
      <c r="AN13" s="245">
        <f>AM13+(AM13*'2.  Scheme Wide'!$E$46)</f>
        <v>0</v>
      </c>
      <c r="AO13" s="245">
        <f>AN13+(AN13*'2.  Scheme Wide'!$E$46)</f>
        <v>0</v>
      </c>
      <c r="AP13" s="245">
        <f>AO13+(AO13*'2.  Scheme Wide'!$E$46)</f>
        <v>0</v>
      </c>
      <c r="AQ13" s="245">
        <f>AP13+(AP13*'2.  Scheme Wide'!$E$46)</f>
        <v>0</v>
      </c>
      <c r="AR13" s="245">
        <f>AQ13+(AQ13*'2.  Scheme Wide'!$E$46)</f>
        <v>0</v>
      </c>
      <c r="AS13" s="245">
        <f>AR13+(AR13*'2.  Scheme Wide'!$E$46)</f>
        <v>0</v>
      </c>
      <c r="AT13" s="245">
        <f>AS13+(AS13*'2.  Scheme Wide'!$E$46)</f>
        <v>0</v>
      </c>
      <c r="AU13" s="245">
        <f>AT13+(AT13*'2.  Scheme Wide'!$E$46)</f>
        <v>0</v>
      </c>
      <c r="AV13" s="245">
        <f>AU13+(AU13*'2.  Scheme Wide'!$E$46)</f>
        <v>0</v>
      </c>
      <c r="AW13" s="245">
        <f>AV13+(AV13*'2.  Scheme Wide'!$E$46)</f>
        <v>0</v>
      </c>
      <c r="AX13" s="245">
        <f>AW13+(AW13*'2.  Scheme Wide'!$E$46)</f>
        <v>0</v>
      </c>
      <c r="AY13" s="245">
        <f>AX13+(AX13*'2.  Scheme Wide'!$E$46)</f>
        <v>0</v>
      </c>
      <c r="AZ13" s="245">
        <f>AY13+(AY13*'2.  Scheme Wide'!$E$46)</f>
        <v>0</v>
      </c>
      <c r="BA13" s="245">
        <f>AZ13+(AZ13*'2.  Scheme Wide'!$E$46)</f>
        <v>0</v>
      </c>
      <c r="BB13" s="245">
        <f>BA13+(BA13*'2.  Scheme Wide'!$E$46)</f>
        <v>0</v>
      </c>
      <c r="BC13" s="245">
        <f>BB13+(BB13*'2.  Scheme Wide'!$E$46)</f>
        <v>0</v>
      </c>
      <c r="BD13" s="245">
        <f>BC13+(BC13*'2.  Scheme Wide'!$E$46)</f>
        <v>0</v>
      </c>
      <c r="BE13" s="245">
        <f>BD13+(BD13*'2.  Scheme Wide'!$E$46)</f>
        <v>0</v>
      </c>
      <c r="BF13" s="245">
        <f>BE13+(BE13*'2.  Scheme Wide'!$E$46)</f>
        <v>0</v>
      </c>
      <c r="BG13" s="245">
        <f>BF13+(BF13*'2.  Scheme Wide'!$E$46)</f>
        <v>0</v>
      </c>
      <c r="BH13" s="245">
        <f>BG13+(BG13*'2.  Scheme Wide'!$E$46)</f>
        <v>0</v>
      </c>
      <c r="BI13" s="245">
        <f>BH13+(BH13*'2.  Scheme Wide'!$E$46)</f>
        <v>0</v>
      </c>
      <c r="BJ13" s="245">
        <f>BI13+(BI13*'2.  Scheme Wide'!$E$46)</f>
        <v>0</v>
      </c>
      <c r="BK13" s="245">
        <f>BJ13+(BJ13*'2.  Scheme Wide'!$E$46)</f>
        <v>0</v>
      </c>
      <c r="BL13" s="245">
        <f>BK13+(BK13*'2.  Scheme Wide'!$E$46)</f>
        <v>0</v>
      </c>
      <c r="BM13" s="245">
        <f>BL13+(BL13*'2.  Scheme Wide'!$E$46)</f>
        <v>0</v>
      </c>
      <c r="BN13" s="245">
        <f>BM13+(BM13*'2.  Scheme Wide'!$E$46)</f>
        <v>0</v>
      </c>
      <c r="BO13" s="245">
        <f>BN13+(BN13*'2.  Scheme Wide'!$E$46)</f>
        <v>0</v>
      </c>
      <c r="BP13" s="245">
        <f>BO13+(BO13*'2.  Scheme Wide'!$E$46)</f>
        <v>0</v>
      </c>
      <c r="BQ13" s="245">
        <f>BP13+(BP13*'2.  Scheme Wide'!$E$46)</f>
        <v>0</v>
      </c>
      <c r="BR13" s="245">
        <f>BQ13+(BQ13*'2.  Scheme Wide'!$E$46)</f>
        <v>0</v>
      </c>
      <c r="BS13" s="245">
        <f>BR13+(BR13*'2.  Scheme Wide'!$E$46)</f>
        <v>0</v>
      </c>
      <c r="BT13" s="245">
        <f>BS13+(BS13*'2.  Scheme Wide'!$E$46)</f>
        <v>0</v>
      </c>
      <c r="BU13" s="245">
        <f>BT13+(BT13*'2.  Scheme Wide'!$E$46)</f>
        <v>0</v>
      </c>
      <c r="BV13" s="245">
        <f>BU13+(BU13*'2.  Scheme Wide'!$E$46)</f>
        <v>0</v>
      </c>
      <c r="BW13" s="245">
        <f>BV13+(BV13*'2.  Scheme Wide'!$E$46)</f>
        <v>0</v>
      </c>
      <c r="BX13" s="245">
        <f>BW13+(BW13*'2.  Scheme Wide'!$E$46)</f>
        <v>0</v>
      </c>
      <c r="BY13" s="245">
        <f>BX13+(BX13*'2.  Scheme Wide'!$E$46)</f>
        <v>0</v>
      </c>
      <c r="BZ13" s="245">
        <f>BY13+(BY13*'2.  Scheme Wide'!$E$46)</f>
        <v>0</v>
      </c>
      <c r="CA13" s="245">
        <f>BZ13+(BZ13*'2.  Scheme Wide'!$E$46)</f>
        <v>0</v>
      </c>
      <c r="CB13" s="245">
        <f>CA13+(CA13*'2.  Scheme Wide'!$E$46)</f>
        <v>0</v>
      </c>
      <c r="CC13" s="245">
        <f>CB13+(CB13*'2.  Scheme Wide'!$E$46)</f>
        <v>0</v>
      </c>
      <c r="CD13" s="245">
        <f>CC13+(CC13*'2.  Scheme Wide'!$E$46)</f>
        <v>0</v>
      </c>
      <c r="CE13" s="245">
        <f>CD13+(CD13*'2.  Scheme Wide'!$E$46)</f>
        <v>0</v>
      </c>
      <c r="CF13" s="245">
        <f>CE13+(CE13*'2.  Scheme Wide'!$E$46)</f>
        <v>0</v>
      </c>
      <c r="CG13" s="245">
        <f>CF13+(CF13*'2.  Scheme Wide'!$E$46)</f>
        <v>0</v>
      </c>
      <c r="CH13" s="245">
        <f>CG13+(CG13*'2.  Scheme Wide'!$E$46)</f>
        <v>0</v>
      </c>
      <c r="CI13" s="245">
        <f>CH13+(CH13*'2.  Scheme Wide'!$E$46)</f>
        <v>0</v>
      </c>
    </row>
    <row r="14" spans="1:97">
      <c r="B14" s="98" t="s">
        <v>208</v>
      </c>
      <c r="D14" s="23">
        <f>'3. Site Based'!F27</f>
        <v>1433.3333333333335</v>
      </c>
      <c r="E14" s="245">
        <f t="shared" si="0"/>
        <v>1433.3333333333335</v>
      </c>
      <c r="F14" s="245">
        <f t="shared" si="0"/>
        <v>1433.3333333333335</v>
      </c>
      <c r="G14" s="245">
        <f t="shared" si="1"/>
        <v>1433.3333333333335</v>
      </c>
      <c r="H14" s="245">
        <f>G14+(G14*'2.  Scheme Wide'!$E$46)</f>
        <v>1433.3333333333335</v>
      </c>
      <c r="I14" s="245">
        <f>H14+(H14*'2.  Scheme Wide'!$E$46)</f>
        <v>1433.3333333333335</v>
      </c>
      <c r="J14" s="245">
        <f>I14+(I14*'2.  Scheme Wide'!$E$46)</f>
        <v>1433.3333333333335</v>
      </c>
      <c r="K14" s="245">
        <f>J14+(J14*'2.  Scheme Wide'!$E$46)</f>
        <v>1433.3333333333335</v>
      </c>
      <c r="L14" s="245">
        <f>K14+(K14*'2.  Scheme Wide'!$E$46)</f>
        <v>1433.3333333333335</v>
      </c>
      <c r="M14" s="245">
        <f>L14+(L14*'2.  Scheme Wide'!$E$46)</f>
        <v>1433.3333333333335</v>
      </c>
      <c r="N14" s="245">
        <f>M14+(M14*'2.  Scheme Wide'!$E$46)</f>
        <v>1433.3333333333335</v>
      </c>
      <c r="O14" s="245">
        <f>N14+(N14*'2.  Scheme Wide'!$E$46)</f>
        <v>1433.3333333333335</v>
      </c>
      <c r="P14" s="245">
        <f>O14+(O14*'2.  Scheme Wide'!$E$46)</f>
        <v>1433.3333333333335</v>
      </c>
      <c r="Q14" s="363">
        <f>P14+(P14*'2.  Scheme Wide'!$E$46)</f>
        <v>1433.3333333333335</v>
      </c>
      <c r="R14" s="245">
        <f>Q14+(Q14*'2.  Scheme Wide'!$E$46)</f>
        <v>1433.3333333333335</v>
      </c>
      <c r="S14" s="245">
        <f>R14+(R14*'2.  Scheme Wide'!$E$46)</f>
        <v>1433.3333333333335</v>
      </c>
      <c r="T14" s="245">
        <f>S14+(S14*'2.  Scheme Wide'!$E$46)</f>
        <v>1433.3333333333335</v>
      </c>
      <c r="U14" s="245">
        <f>T14+(T14*'2.  Scheme Wide'!$E$46)</f>
        <v>1433.3333333333335</v>
      </c>
      <c r="V14" s="245">
        <f>U14+(U14*'2.  Scheme Wide'!$E$46)</f>
        <v>1433.3333333333335</v>
      </c>
      <c r="W14" s="245">
        <f>V14+(V14*'2.  Scheme Wide'!$E$46)</f>
        <v>1433.3333333333335</v>
      </c>
      <c r="X14" s="245">
        <f>W14+(W14*'2.  Scheme Wide'!$E$46)</f>
        <v>1433.3333333333335</v>
      </c>
      <c r="Y14" s="245">
        <f>X14+(X14*'2.  Scheme Wide'!$E$46)</f>
        <v>1433.3333333333335</v>
      </c>
      <c r="Z14" s="245">
        <f>Y14+(Y14*'2.  Scheme Wide'!$E$46)</f>
        <v>1433.3333333333335</v>
      </c>
      <c r="AA14" s="245">
        <f>Z14+(Z14*'2.  Scheme Wide'!$E$46)</f>
        <v>1433.3333333333335</v>
      </c>
      <c r="AB14" s="245">
        <f>AA14+(AA14*'2.  Scheme Wide'!$E$46)</f>
        <v>1433.3333333333335</v>
      </c>
      <c r="AC14" s="245">
        <f>AB14+(AB14*'2.  Scheme Wide'!$E$46)</f>
        <v>1433.3333333333335</v>
      </c>
      <c r="AD14" s="245">
        <f>AC14+(AC14*'2.  Scheme Wide'!$E$46)</f>
        <v>1433.3333333333335</v>
      </c>
      <c r="AE14" s="245">
        <f>AD14+(AD14*'2.  Scheme Wide'!$E$46)</f>
        <v>1433.3333333333335</v>
      </c>
      <c r="AF14" s="245">
        <f>AE14+(AE14*'2.  Scheme Wide'!$E$46)</f>
        <v>1433.3333333333335</v>
      </c>
      <c r="AG14" s="245">
        <f>AF14+(AF14*'2.  Scheme Wide'!$E$46)</f>
        <v>1433.3333333333335</v>
      </c>
      <c r="AH14" s="245">
        <f>AG14+(AG14*'2.  Scheme Wide'!$E$46)</f>
        <v>1433.3333333333335</v>
      </c>
      <c r="AI14" s="245">
        <f>AH14+(AH14*'2.  Scheme Wide'!$E$46)</f>
        <v>1433.3333333333335</v>
      </c>
      <c r="AJ14" s="245">
        <f>AI14+(AI14*'2.  Scheme Wide'!$E$46)</f>
        <v>1433.3333333333335</v>
      </c>
      <c r="AK14" s="245">
        <f>AJ14+(AJ14*'2.  Scheme Wide'!$E$46)</f>
        <v>1433.3333333333335</v>
      </c>
      <c r="AL14" s="245">
        <f>AK14+(AK14*'2.  Scheme Wide'!$E$46)</f>
        <v>1433.3333333333335</v>
      </c>
      <c r="AM14" s="245">
        <f>AL14+(AL14*'2.  Scheme Wide'!$E$46)</f>
        <v>1433.3333333333335</v>
      </c>
      <c r="AN14" s="245">
        <f>AM14+(AM14*'2.  Scheme Wide'!$E$46)</f>
        <v>1433.3333333333335</v>
      </c>
      <c r="AO14" s="245">
        <f>AN14+(AN14*'2.  Scheme Wide'!$E$46)</f>
        <v>1433.3333333333335</v>
      </c>
      <c r="AP14" s="245">
        <f>AO14+(AO14*'2.  Scheme Wide'!$E$46)</f>
        <v>1433.3333333333335</v>
      </c>
      <c r="AQ14" s="245">
        <f>AP14+(AP14*'2.  Scheme Wide'!$E$46)</f>
        <v>1433.3333333333335</v>
      </c>
      <c r="AR14" s="245">
        <f>AQ14+(AQ14*'2.  Scheme Wide'!$E$46)</f>
        <v>1433.3333333333335</v>
      </c>
      <c r="AS14" s="245">
        <f>AR14+(AR14*'2.  Scheme Wide'!$E$46)</f>
        <v>1433.3333333333335</v>
      </c>
      <c r="AT14" s="245">
        <f>AS14+(AS14*'2.  Scheme Wide'!$E$46)</f>
        <v>1433.3333333333335</v>
      </c>
      <c r="AU14" s="245">
        <f>AT14+(AT14*'2.  Scheme Wide'!$E$46)</f>
        <v>1433.3333333333335</v>
      </c>
      <c r="AV14" s="245">
        <f>AU14+(AU14*'2.  Scheme Wide'!$E$46)</f>
        <v>1433.3333333333335</v>
      </c>
      <c r="AW14" s="245">
        <f>AV14+(AV14*'2.  Scheme Wide'!$E$46)</f>
        <v>1433.3333333333335</v>
      </c>
      <c r="AX14" s="245">
        <f>AW14+(AW14*'2.  Scheme Wide'!$E$46)</f>
        <v>1433.3333333333335</v>
      </c>
      <c r="AY14" s="245">
        <f>AX14+(AX14*'2.  Scheme Wide'!$E$46)</f>
        <v>1433.3333333333335</v>
      </c>
      <c r="AZ14" s="245">
        <f>AY14+(AY14*'2.  Scheme Wide'!$E$46)</f>
        <v>1433.3333333333335</v>
      </c>
      <c r="BA14" s="245">
        <f>AZ14+(AZ14*'2.  Scheme Wide'!$E$46)</f>
        <v>1433.3333333333335</v>
      </c>
      <c r="BB14" s="245">
        <f>BA14+(BA14*'2.  Scheme Wide'!$E$46)</f>
        <v>1433.3333333333335</v>
      </c>
      <c r="BC14" s="245">
        <f>BB14+(BB14*'2.  Scheme Wide'!$E$46)</f>
        <v>1433.3333333333335</v>
      </c>
      <c r="BD14" s="245">
        <f>BC14+(BC14*'2.  Scheme Wide'!$E$46)</f>
        <v>1433.3333333333335</v>
      </c>
      <c r="BE14" s="245">
        <f>BD14+(BD14*'2.  Scheme Wide'!$E$46)</f>
        <v>1433.3333333333335</v>
      </c>
      <c r="BF14" s="245">
        <f>BE14+(BE14*'2.  Scheme Wide'!$E$46)</f>
        <v>1433.3333333333335</v>
      </c>
      <c r="BG14" s="245">
        <f>BF14+(BF14*'2.  Scheme Wide'!$E$46)</f>
        <v>1433.3333333333335</v>
      </c>
      <c r="BH14" s="245">
        <f>BG14+(BG14*'2.  Scheme Wide'!$E$46)</f>
        <v>1433.3333333333335</v>
      </c>
      <c r="BI14" s="245">
        <f>BH14+(BH14*'2.  Scheme Wide'!$E$46)</f>
        <v>1433.3333333333335</v>
      </c>
      <c r="BJ14" s="245">
        <f>BI14+(BI14*'2.  Scheme Wide'!$E$46)</f>
        <v>1433.3333333333335</v>
      </c>
      <c r="BK14" s="245">
        <f>BJ14+(BJ14*'2.  Scheme Wide'!$E$46)</f>
        <v>1433.3333333333335</v>
      </c>
      <c r="BL14" s="245">
        <f>BK14+(BK14*'2.  Scheme Wide'!$E$46)</f>
        <v>1433.3333333333335</v>
      </c>
      <c r="BM14" s="245">
        <f>BL14+(BL14*'2.  Scheme Wide'!$E$46)</f>
        <v>1433.3333333333335</v>
      </c>
      <c r="BN14" s="245">
        <f>BM14+(BM14*'2.  Scheme Wide'!$E$46)</f>
        <v>1433.3333333333335</v>
      </c>
      <c r="BO14" s="245">
        <f>BN14+(BN14*'2.  Scheme Wide'!$E$46)</f>
        <v>1433.3333333333335</v>
      </c>
      <c r="BP14" s="245">
        <f>BO14+(BO14*'2.  Scheme Wide'!$E$46)</f>
        <v>1433.3333333333335</v>
      </c>
      <c r="BQ14" s="245">
        <f>BP14+(BP14*'2.  Scheme Wide'!$E$46)</f>
        <v>1433.3333333333335</v>
      </c>
      <c r="BR14" s="245">
        <f>BQ14+(BQ14*'2.  Scheme Wide'!$E$46)</f>
        <v>1433.3333333333335</v>
      </c>
      <c r="BS14" s="245">
        <f>BR14+(BR14*'2.  Scheme Wide'!$E$46)</f>
        <v>1433.3333333333335</v>
      </c>
      <c r="BT14" s="245">
        <f>BS14+(BS14*'2.  Scheme Wide'!$E$46)</f>
        <v>1433.3333333333335</v>
      </c>
      <c r="BU14" s="245">
        <f>BT14+(BT14*'2.  Scheme Wide'!$E$46)</f>
        <v>1433.3333333333335</v>
      </c>
      <c r="BV14" s="245">
        <f>BU14+(BU14*'2.  Scheme Wide'!$E$46)</f>
        <v>1433.3333333333335</v>
      </c>
      <c r="BW14" s="245">
        <f>BV14+(BV14*'2.  Scheme Wide'!$E$46)</f>
        <v>1433.3333333333335</v>
      </c>
      <c r="BX14" s="245">
        <f>BW14+(BW14*'2.  Scheme Wide'!$E$46)</f>
        <v>1433.3333333333335</v>
      </c>
      <c r="BY14" s="245">
        <f>BX14+(BX14*'2.  Scheme Wide'!$E$46)</f>
        <v>1433.3333333333335</v>
      </c>
      <c r="BZ14" s="245">
        <f>BY14+(BY14*'2.  Scheme Wide'!$E$46)</f>
        <v>1433.3333333333335</v>
      </c>
      <c r="CA14" s="245">
        <f>BZ14+(BZ14*'2.  Scheme Wide'!$E$46)</f>
        <v>1433.3333333333335</v>
      </c>
      <c r="CB14" s="245">
        <f>CA14+(CA14*'2.  Scheme Wide'!$E$46)</f>
        <v>1433.3333333333335</v>
      </c>
      <c r="CC14" s="245">
        <f>CB14+(CB14*'2.  Scheme Wide'!$E$46)</f>
        <v>1433.3333333333335</v>
      </c>
      <c r="CD14" s="245">
        <f>CC14+(CC14*'2.  Scheme Wide'!$E$46)</f>
        <v>1433.3333333333335</v>
      </c>
      <c r="CE14" s="245">
        <f>CD14+(CD14*'2.  Scheme Wide'!$E$46)</f>
        <v>1433.3333333333335</v>
      </c>
      <c r="CF14" s="245">
        <f>CE14+(CE14*'2.  Scheme Wide'!$E$46)</f>
        <v>1433.3333333333335</v>
      </c>
      <c r="CG14" s="245">
        <f>CF14+(CF14*'2.  Scheme Wide'!$E$46)</f>
        <v>1433.3333333333335</v>
      </c>
      <c r="CH14" s="245">
        <f>CG14+(CG14*'2.  Scheme Wide'!$E$46)</f>
        <v>1433.3333333333335</v>
      </c>
      <c r="CI14" s="245">
        <f>CH14+(CH14*'2.  Scheme Wide'!$E$46)</f>
        <v>1433.3333333333335</v>
      </c>
    </row>
    <row r="15" spans="1:97">
      <c r="B15" s="44" t="s">
        <v>51</v>
      </c>
      <c r="D15" s="23">
        <f>'3. Site Based'!G27</f>
        <v>2484.6153846153848</v>
      </c>
      <c r="E15" s="245">
        <f t="shared" si="0"/>
        <v>2484.6153846153848</v>
      </c>
      <c r="F15" s="245">
        <f t="shared" si="0"/>
        <v>2484.6153846153848</v>
      </c>
      <c r="G15" s="245">
        <f t="shared" si="1"/>
        <v>2484.6153846153848</v>
      </c>
      <c r="H15" s="245">
        <f>G15+(G15*'2.  Scheme Wide'!$E$46)</f>
        <v>2484.6153846153848</v>
      </c>
      <c r="I15" s="245">
        <f>H15+(H15*'2.  Scheme Wide'!$E$46)</f>
        <v>2484.6153846153848</v>
      </c>
      <c r="J15" s="245">
        <f>I15+(I15*'2.  Scheme Wide'!$E$46)</f>
        <v>2484.6153846153848</v>
      </c>
      <c r="K15" s="245">
        <f>J15+(J15*'2.  Scheme Wide'!$E$46)</f>
        <v>2484.6153846153848</v>
      </c>
      <c r="L15" s="245">
        <f>K15+(K15*'2.  Scheme Wide'!$E$46)</f>
        <v>2484.6153846153848</v>
      </c>
      <c r="M15" s="245">
        <f>L15+(L15*'2.  Scheme Wide'!$E$46)</f>
        <v>2484.6153846153848</v>
      </c>
      <c r="N15" s="245">
        <f>M15+(M15*'2.  Scheme Wide'!$E$46)</f>
        <v>2484.6153846153848</v>
      </c>
      <c r="O15" s="245">
        <f>N15+(N15*'2.  Scheme Wide'!$E$46)</f>
        <v>2484.6153846153848</v>
      </c>
      <c r="P15" s="245">
        <f>O15+(O15*'2.  Scheme Wide'!$E$46)</f>
        <v>2484.6153846153848</v>
      </c>
      <c r="Q15" s="363">
        <f>P15+(P15*'2.  Scheme Wide'!$E$46)</f>
        <v>2484.6153846153848</v>
      </c>
      <c r="R15" s="245">
        <f>Q15+(Q15*'2.  Scheme Wide'!$E$46)</f>
        <v>2484.6153846153848</v>
      </c>
      <c r="S15" s="245">
        <f>R15+(R15*'2.  Scheme Wide'!$E$46)</f>
        <v>2484.6153846153848</v>
      </c>
      <c r="T15" s="245">
        <f>S15+(S15*'2.  Scheme Wide'!$E$46)</f>
        <v>2484.6153846153848</v>
      </c>
      <c r="U15" s="245">
        <f>T15+(T15*'2.  Scheme Wide'!$E$46)</f>
        <v>2484.6153846153848</v>
      </c>
      <c r="V15" s="245">
        <f>U15+(U15*'2.  Scheme Wide'!$E$46)</f>
        <v>2484.6153846153848</v>
      </c>
      <c r="W15" s="245">
        <f>V15+(V15*'2.  Scheme Wide'!$E$46)</f>
        <v>2484.6153846153848</v>
      </c>
      <c r="X15" s="245">
        <f>W15+(W15*'2.  Scheme Wide'!$E$46)</f>
        <v>2484.6153846153848</v>
      </c>
      <c r="Y15" s="245">
        <f>X15+(X15*'2.  Scheme Wide'!$E$46)</f>
        <v>2484.6153846153848</v>
      </c>
      <c r="Z15" s="245">
        <f>Y15+(Y15*'2.  Scheme Wide'!$E$46)</f>
        <v>2484.6153846153848</v>
      </c>
      <c r="AA15" s="245">
        <f>Z15+(Z15*'2.  Scheme Wide'!$E$46)</f>
        <v>2484.6153846153848</v>
      </c>
      <c r="AB15" s="245">
        <f>AA15+(AA15*'2.  Scheme Wide'!$E$46)</f>
        <v>2484.6153846153848</v>
      </c>
      <c r="AC15" s="245">
        <f>AB15+(AB15*'2.  Scheme Wide'!$E$46)</f>
        <v>2484.6153846153848</v>
      </c>
      <c r="AD15" s="245">
        <f>AC15+(AC15*'2.  Scheme Wide'!$E$46)</f>
        <v>2484.6153846153848</v>
      </c>
      <c r="AE15" s="245">
        <f>AD15+(AD15*'2.  Scheme Wide'!$E$46)</f>
        <v>2484.6153846153848</v>
      </c>
      <c r="AF15" s="245">
        <f>AE15+(AE15*'2.  Scheme Wide'!$E$46)</f>
        <v>2484.6153846153848</v>
      </c>
      <c r="AG15" s="245">
        <f>AF15+(AF15*'2.  Scheme Wide'!$E$46)</f>
        <v>2484.6153846153848</v>
      </c>
      <c r="AH15" s="245">
        <f>AG15+(AG15*'2.  Scheme Wide'!$E$46)</f>
        <v>2484.6153846153848</v>
      </c>
      <c r="AI15" s="245">
        <f>AH15+(AH15*'2.  Scheme Wide'!$E$46)</f>
        <v>2484.6153846153848</v>
      </c>
      <c r="AJ15" s="245">
        <f>AI15+(AI15*'2.  Scheme Wide'!$E$46)</f>
        <v>2484.6153846153848</v>
      </c>
      <c r="AK15" s="245">
        <f>AJ15+(AJ15*'2.  Scheme Wide'!$E$46)</f>
        <v>2484.6153846153848</v>
      </c>
      <c r="AL15" s="245">
        <f>AK15+(AK15*'2.  Scheme Wide'!$E$46)</f>
        <v>2484.6153846153848</v>
      </c>
      <c r="AM15" s="245">
        <f>AL15+(AL15*'2.  Scheme Wide'!$E$46)</f>
        <v>2484.6153846153848</v>
      </c>
      <c r="AN15" s="245">
        <f>AM15+(AM15*'2.  Scheme Wide'!$E$46)</f>
        <v>2484.6153846153848</v>
      </c>
      <c r="AO15" s="245">
        <f>AN15+(AN15*'2.  Scheme Wide'!$E$46)</f>
        <v>2484.6153846153848</v>
      </c>
      <c r="AP15" s="245">
        <f>AO15+(AO15*'2.  Scheme Wide'!$E$46)</f>
        <v>2484.6153846153848</v>
      </c>
      <c r="AQ15" s="245">
        <f>AP15+(AP15*'2.  Scheme Wide'!$E$46)</f>
        <v>2484.6153846153848</v>
      </c>
      <c r="AR15" s="245">
        <f>AQ15+(AQ15*'2.  Scheme Wide'!$E$46)</f>
        <v>2484.6153846153848</v>
      </c>
      <c r="AS15" s="245">
        <f>AR15+(AR15*'2.  Scheme Wide'!$E$46)</f>
        <v>2484.6153846153848</v>
      </c>
      <c r="AT15" s="245">
        <f>AS15+(AS15*'2.  Scheme Wide'!$E$46)</f>
        <v>2484.6153846153848</v>
      </c>
      <c r="AU15" s="245">
        <f>AT15+(AT15*'2.  Scheme Wide'!$E$46)</f>
        <v>2484.6153846153848</v>
      </c>
      <c r="AV15" s="245">
        <f>AU15+(AU15*'2.  Scheme Wide'!$E$46)</f>
        <v>2484.6153846153848</v>
      </c>
      <c r="AW15" s="245">
        <f>AV15+(AV15*'2.  Scheme Wide'!$E$46)</f>
        <v>2484.6153846153848</v>
      </c>
      <c r="AX15" s="245">
        <f>AW15+(AW15*'2.  Scheme Wide'!$E$46)</f>
        <v>2484.6153846153848</v>
      </c>
      <c r="AY15" s="245">
        <f>AX15+(AX15*'2.  Scheme Wide'!$E$46)</f>
        <v>2484.6153846153848</v>
      </c>
      <c r="AZ15" s="245">
        <f>AY15+(AY15*'2.  Scheme Wide'!$E$46)</f>
        <v>2484.6153846153848</v>
      </c>
      <c r="BA15" s="245">
        <f>AZ15+(AZ15*'2.  Scheme Wide'!$E$46)</f>
        <v>2484.6153846153848</v>
      </c>
      <c r="BB15" s="245">
        <f>BA15+(BA15*'2.  Scheme Wide'!$E$46)</f>
        <v>2484.6153846153848</v>
      </c>
      <c r="BC15" s="245">
        <f>BB15+(BB15*'2.  Scheme Wide'!$E$46)</f>
        <v>2484.6153846153848</v>
      </c>
      <c r="BD15" s="245">
        <f>BC15+(BC15*'2.  Scheme Wide'!$E$46)</f>
        <v>2484.6153846153848</v>
      </c>
      <c r="BE15" s="245">
        <f>BD15+(BD15*'2.  Scheme Wide'!$E$46)</f>
        <v>2484.6153846153848</v>
      </c>
      <c r="BF15" s="245">
        <f>BE15+(BE15*'2.  Scheme Wide'!$E$46)</f>
        <v>2484.6153846153848</v>
      </c>
      <c r="BG15" s="245">
        <f>BF15+(BF15*'2.  Scheme Wide'!$E$46)</f>
        <v>2484.6153846153848</v>
      </c>
      <c r="BH15" s="245">
        <f>BG15+(BG15*'2.  Scheme Wide'!$E$46)</f>
        <v>2484.6153846153848</v>
      </c>
      <c r="BI15" s="245">
        <f>BH15+(BH15*'2.  Scheme Wide'!$E$46)</f>
        <v>2484.6153846153848</v>
      </c>
      <c r="BJ15" s="245">
        <f>BI15+(BI15*'2.  Scheme Wide'!$E$46)</f>
        <v>2484.6153846153848</v>
      </c>
      <c r="BK15" s="245">
        <f>BJ15+(BJ15*'2.  Scheme Wide'!$E$46)</f>
        <v>2484.6153846153848</v>
      </c>
      <c r="BL15" s="245">
        <f>BK15+(BK15*'2.  Scheme Wide'!$E$46)</f>
        <v>2484.6153846153848</v>
      </c>
      <c r="BM15" s="245">
        <f>BL15+(BL15*'2.  Scheme Wide'!$E$46)</f>
        <v>2484.6153846153848</v>
      </c>
      <c r="BN15" s="245">
        <f>BM15+(BM15*'2.  Scheme Wide'!$E$46)</f>
        <v>2484.6153846153848</v>
      </c>
      <c r="BO15" s="245">
        <f>BN15+(BN15*'2.  Scheme Wide'!$E$46)</f>
        <v>2484.6153846153848</v>
      </c>
      <c r="BP15" s="245">
        <f>BO15+(BO15*'2.  Scheme Wide'!$E$46)</f>
        <v>2484.6153846153848</v>
      </c>
      <c r="BQ15" s="245">
        <f>BP15+(BP15*'2.  Scheme Wide'!$E$46)</f>
        <v>2484.6153846153848</v>
      </c>
      <c r="BR15" s="245">
        <f>BQ15+(BQ15*'2.  Scheme Wide'!$E$46)</f>
        <v>2484.6153846153848</v>
      </c>
      <c r="BS15" s="245">
        <f>BR15+(BR15*'2.  Scheme Wide'!$E$46)</f>
        <v>2484.6153846153848</v>
      </c>
      <c r="BT15" s="245">
        <f>BS15+(BS15*'2.  Scheme Wide'!$E$46)</f>
        <v>2484.6153846153848</v>
      </c>
      <c r="BU15" s="245">
        <f>BT15+(BT15*'2.  Scheme Wide'!$E$46)</f>
        <v>2484.6153846153848</v>
      </c>
      <c r="BV15" s="245">
        <f>BU15+(BU15*'2.  Scheme Wide'!$E$46)</f>
        <v>2484.6153846153848</v>
      </c>
      <c r="BW15" s="245">
        <f>BV15+(BV15*'2.  Scheme Wide'!$E$46)</f>
        <v>2484.6153846153848</v>
      </c>
      <c r="BX15" s="245">
        <f>BW15+(BW15*'2.  Scheme Wide'!$E$46)</f>
        <v>2484.6153846153848</v>
      </c>
      <c r="BY15" s="245">
        <f>BX15+(BX15*'2.  Scheme Wide'!$E$46)</f>
        <v>2484.6153846153848</v>
      </c>
      <c r="BZ15" s="245">
        <f>BY15+(BY15*'2.  Scheme Wide'!$E$46)</f>
        <v>2484.6153846153848</v>
      </c>
      <c r="CA15" s="245">
        <f>BZ15+(BZ15*'2.  Scheme Wide'!$E$46)</f>
        <v>2484.6153846153848</v>
      </c>
      <c r="CB15" s="245">
        <f>CA15+(CA15*'2.  Scheme Wide'!$E$46)</f>
        <v>2484.6153846153848</v>
      </c>
      <c r="CC15" s="245">
        <f>CB15+(CB15*'2.  Scheme Wide'!$E$46)</f>
        <v>2484.6153846153848</v>
      </c>
      <c r="CD15" s="245">
        <f>CC15+(CC15*'2.  Scheme Wide'!$E$46)</f>
        <v>2484.6153846153848</v>
      </c>
      <c r="CE15" s="245">
        <f>CD15+(CD15*'2.  Scheme Wide'!$E$46)</f>
        <v>2484.6153846153848</v>
      </c>
      <c r="CF15" s="245">
        <f>CE15+(CE15*'2.  Scheme Wide'!$E$46)</f>
        <v>2484.6153846153848</v>
      </c>
      <c r="CG15" s="245">
        <f>CF15+(CF15*'2.  Scheme Wide'!$E$46)</f>
        <v>2484.6153846153848</v>
      </c>
      <c r="CH15" s="245">
        <f>CG15+(CG15*'2.  Scheme Wide'!$E$46)</f>
        <v>2484.6153846153848</v>
      </c>
      <c r="CI15" s="245">
        <f>CH15+(CH15*'2.  Scheme Wide'!$E$46)</f>
        <v>2484.6153846153848</v>
      </c>
    </row>
    <row r="17" spans="2:87" ht="15.75">
      <c r="B17" s="52" t="s">
        <v>205</v>
      </c>
    </row>
    <row r="18" spans="2:87">
      <c r="B18" s="44" t="s">
        <v>172</v>
      </c>
      <c r="D18" s="23">
        <f>'3. Site Based'!E9</f>
        <v>1293</v>
      </c>
      <c r="E18" s="245">
        <f>D18</f>
        <v>1293</v>
      </c>
      <c r="F18" s="245">
        <f>E18</f>
        <v>1293</v>
      </c>
      <c r="G18" s="245">
        <f>F18</f>
        <v>1293</v>
      </c>
      <c r="H18" s="245">
        <f>G18+(G18*'2.  Scheme Wide'!$E$45)</f>
        <v>1293</v>
      </c>
      <c r="I18" s="245">
        <f>H18+(H18*'2.  Scheme Wide'!$E$45)</f>
        <v>1293</v>
      </c>
      <c r="J18" s="245">
        <f>I18+(I18*'2.  Scheme Wide'!$E$45)</f>
        <v>1293</v>
      </c>
      <c r="K18" s="245">
        <f>J18+(J18*'2.  Scheme Wide'!$E$45)</f>
        <v>1293</v>
      </c>
      <c r="L18" s="245">
        <f>K18+(K18*'2.  Scheme Wide'!$E$45)</f>
        <v>1293</v>
      </c>
      <c r="M18" s="245">
        <f>L18+(L18*'2.  Scheme Wide'!$E$45)</f>
        <v>1293</v>
      </c>
      <c r="N18" s="245">
        <f>M18+(M18*'2.  Scheme Wide'!$E$45)</f>
        <v>1293</v>
      </c>
      <c r="O18" s="245">
        <f>N18+(N18*'2.  Scheme Wide'!$E$45)</f>
        <v>1293</v>
      </c>
      <c r="P18" s="245">
        <f>O18+(O18*'2.  Scheme Wide'!$E$45)</f>
        <v>1293</v>
      </c>
      <c r="Q18" s="363">
        <f>P18+(P18*'2.  Scheme Wide'!$E$45)</f>
        <v>1293</v>
      </c>
      <c r="R18" s="245">
        <f>Q18+(Q18*'2.  Scheme Wide'!$E$45)</f>
        <v>1293</v>
      </c>
      <c r="S18" s="245">
        <f>R18+(R18*'2.  Scheme Wide'!$E$45)</f>
        <v>1293</v>
      </c>
      <c r="T18" s="245">
        <f>S18+(S18*'2.  Scheme Wide'!$E$45)</f>
        <v>1293</v>
      </c>
      <c r="U18" s="245">
        <f>T18+(T18*'2.  Scheme Wide'!$E$45)</f>
        <v>1293</v>
      </c>
      <c r="V18" s="245">
        <f>U18+(U18*'2.  Scheme Wide'!$E$45)</f>
        <v>1293</v>
      </c>
      <c r="W18" s="245">
        <f>V18+(V18*'2.  Scheme Wide'!$E$45)</f>
        <v>1293</v>
      </c>
      <c r="X18" s="245">
        <f>W18+(W18*'2.  Scheme Wide'!$E$45)</f>
        <v>1293</v>
      </c>
      <c r="Y18" s="245">
        <f>X18+(X18*'2.  Scheme Wide'!$E$45)</f>
        <v>1293</v>
      </c>
      <c r="Z18" s="245">
        <f>Y18+(Y18*'2.  Scheme Wide'!$E$45)</f>
        <v>1293</v>
      </c>
      <c r="AA18" s="245">
        <f>Z18+(Z18*'2.  Scheme Wide'!$E$45)</f>
        <v>1293</v>
      </c>
      <c r="AB18" s="245">
        <f>AA18+(AA18*'2.  Scheme Wide'!$E$45)</f>
        <v>1293</v>
      </c>
      <c r="AC18" s="245">
        <f>AB18+(AB18*'2.  Scheme Wide'!$E$45)</f>
        <v>1293</v>
      </c>
      <c r="AD18" s="245">
        <f>AC18+(AC18*'2.  Scheme Wide'!$E$45)</f>
        <v>1293</v>
      </c>
      <c r="AE18" s="245">
        <f>AD18+(AD18*'2.  Scheme Wide'!$E$45)</f>
        <v>1293</v>
      </c>
      <c r="AF18" s="245">
        <f>AE18+(AE18*'2.  Scheme Wide'!$E$45)</f>
        <v>1293</v>
      </c>
      <c r="AG18" s="245">
        <f>AF18+(AF18*'2.  Scheme Wide'!$E$45)</f>
        <v>1293</v>
      </c>
      <c r="AH18" s="245">
        <f>AG18+(AG18*'2.  Scheme Wide'!$E$45)</f>
        <v>1293</v>
      </c>
      <c r="AI18" s="245">
        <f>AH18+(AH18*'2.  Scheme Wide'!$E$45)</f>
        <v>1293</v>
      </c>
      <c r="AJ18" s="245">
        <f>AI18+(AI18*'2.  Scheme Wide'!$E$45)</f>
        <v>1293</v>
      </c>
      <c r="AK18" s="245">
        <f>AJ18+(AJ18*'2.  Scheme Wide'!$E$45)</f>
        <v>1293</v>
      </c>
      <c r="AL18" s="245">
        <f>AK18+(AK18*'2.  Scheme Wide'!$E$45)</f>
        <v>1293</v>
      </c>
      <c r="AM18" s="245">
        <f>AL18+(AL18*'2.  Scheme Wide'!$E$45)</f>
        <v>1293</v>
      </c>
      <c r="AN18" s="245">
        <f>AM18+(AM18*'2.  Scheme Wide'!$E$45)</f>
        <v>1293</v>
      </c>
      <c r="AO18" s="245">
        <f>AN18+(AN18*'2.  Scheme Wide'!$E$45)</f>
        <v>1293</v>
      </c>
      <c r="AP18" s="245">
        <f>AO18+(AO18*'2.  Scheme Wide'!$E$45)</f>
        <v>1293</v>
      </c>
      <c r="AQ18" s="245">
        <f>AP18+(AP18*'2.  Scheme Wide'!$E$45)</f>
        <v>1293</v>
      </c>
      <c r="AR18" s="245">
        <f>AQ18+(AQ18*'2.  Scheme Wide'!$E$45)</f>
        <v>1293</v>
      </c>
      <c r="AS18" s="245">
        <f>AR18+(AR18*'2.  Scheme Wide'!$E$45)</f>
        <v>1293</v>
      </c>
      <c r="AT18" s="245">
        <f>AS18+(AS18*'2.  Scheme Wide'!$E$45)</f>
        <v>1293</v>
      </c>
      <c r="AU18" s="245">
        <f>AT18+(AT18*'2.  Scheme Wide'!$E$45)</f>
        <v>1293</v>
      </c>
      <c r="AV18" s="245">
        <f>AU18+(AU18*'2.  Scheme Wide'!$E$45)</f>
        <v>1293</v>
      </c>
      <c r="AW18" s="245">
        <f>AV18+(AV18*'2.  Scheme Wide'!$E$45)</f>
        <v>1293</v>
      </c>
      <c r="AX18" s="245">
        <f>AW18+(AW18*'2.  Scheme Wide'!$E$45)</f>
        <v>1293</v>
      </c>
      <c r="AY18" s="245">
        <f>AX18+(AX18*'2.  Scheme Wide'!$E$45)</f>
        <v>1293</v>
      </c>
      <c r="AZ18" s="245">
        <f>AY18+(AY18*'2.  Scheme Wide'!$E$45)</f>
        <v>1293</v>
      </c>
      <c r="BA18" s="245">
        <f>AZ18+(AZ18*'2.  Scheme Wide'!$E$45)</f>
        <v>1293</v>
      </c>
      <c r="BB18" s="245">
        <f>BA18+(BA18*'2.  Scheme Wide'!$E$45)</f>
        <v>1293</v>
      </c>
      <c r="BC18" s="245">
        <f>BB18+(BB18*'2.  Scheme Wide'!$E$45)</f>
        <v>1293</v>
      </c>
      <c r="BD18" s="245">
        <f>BC18+(BC18*'2.  Scheme Wide'!$E$45)</f>
        <v>1293</v>
      </c>
      <c r="BE18" s="245">
        <f>BD18+(BD18*'2.  Scheme Wide'!$E$45)</f>
        <v>1293</v>
      </c>
      <c r="BF18" s="245">
        <f>BE18+(BE18*'2.  Scheme Wide'!$E$45)</f>
        <v>1293</v>
      </c>
      <c r="BG18" s="245">
        <f>BF18+(BF18*'2.  Scheme Wide'!$E$45)</f>
        <v>1293</v>
      </c>
      <c r="BH18" s="245">
        <f>BG18+(BG18*'2.  Scheme Wide'!$E$45)</f>
        <v>1293</v>
      </c>
      <c r="BI18" s="245">
        <f>BH18+(BH18*'2.  Scheme Wide'!$E$45)</f>
        <v>1293</v>
      </c>
      <c r="BJ18" s="245">
        <f>BI18+(BI18*'2.  Scheme Wide'!$E$45)</f>
        <v>1293</v>
      </c>
      <c r="BK18" s="245">
        <f>BJ18+(BJ18*'2.  Scheme Wide'!$E$45)</f>
        <v>1293</v>
      </c>
      <c r="BL18" s="245">
        <f>BK18+(BK18*'2.  Scheme Wide'!$E$45)</f>
        <v>1293</v>
      </c>
      <c r="BM18" s="245">
        <f>BL18+(BL18*'2.  Scheme Wide'!$E$45)</f>
        <v>1293</v>
      </c>
      <c r="BN18" s="245">
        <f>BM18+(BM18*'2.  Scheme Wide'!$E$45)</f>
        <v>1293</v>
      </c>
      <c r="BO18" s="245">
        <f>BN18+(BN18*'2.  Scheme Wide'!$E$45)</f>
        <v>1293</v>
      </c>
      <c r="BP18" s="245">
        <f>BO18+(BO18*'2.  Scheme Wide'!$E$45)</f>
        <v>1293</v>
      </c>
      <c r="BQ18" s="245">
        <f>BP18+(BP18*'2.  Scheme Wide'!$E$45)</f>
        <v>1293</v>
      </c>
      <c r="BR18" s="245">
        <f>BQ18+(BQ18*'2.  Scheme Wide'!$E$45)</f>
        <v>1293</v>
      </c>
      <c r="BS18" s="245">
        <f>BR18+(BR18*'2.  Scheme Wide'!$E$45)</f>
        <v>1293</v>
      </c>
      <c r="BT18" s="245">
        <f>BS18+(BS18*'2.  Scheme Wide'!$E$45)</f>
        <v>1293</v>
      </c>
      <c r="BU18" s="245">
        <f>BT18+(BT18*'2.  Scheme Wide'!$E$45)</f>
        <v>1293</v>
      </c>
      <c r="BV18" s="245">
        <f>BU18+(BU18*'2.  Scheme Wide'!$E$45)</f>
        <v>1293</v>
      </c>
      <c r="BW18" s="245">
        <f>BV18+(BV18*'2.  Scheme Wide'!$E$45)</f>
        <v>1293</v>
      </c>
      <c r="BX18" s="245">
        <f>BW18+(BW18*'2.  Scheme Wide'!$E$45)</f>
        <v>1293</v>
      </c>
      <c r="BY18" s="245">
        <f>BX18+(BX18*'2.  Scheme Wide'!$E$45)</f>
        <v>1293</v>
      </c>
      <c r="BZ18" s="245">
        <f>BY18+(BY18*'2.  Scheme Wide'!$E$45)</f>
        <v>1293</v>
      </c>
      <c r="CA18" s="245">
        <f>BZ18+(BZ18*'2.  Scheme Wide'!$E$45)</f>
        <v>1293</v>
      </c>
      <c r="CB18" s="245">
        <f>CA18+(CA18*'2.  Scheme Wide'!$E$45)</f>
        <v>1293</v>
      </c>
      <c r="CC18" s="245">
        <f>CB18+(CB18*'2.  Scheme Wide'!$E$45)</f>
        <v>1293</v>
      </c>
      <c r="CD18" s="245">
        <f>CC18+(CC18*'2.  Scheme Wide'!$E$45)</f>
        <v>1293</v>
      </c>
      <c r="CE18" s="245">
        <f>CD18+(CD18*'2.  Scheme Wide'!$E$45)</f>
        <v>1293</v>
      </c>
      <c r="CF18" s="245">
        <f>CE18+(CE18*'2.  Scheme Wide'!$E$45)</f>
        <v>1293</v>
      </c>
      <c r="CG18" s="245">
        <f>CF18+(CF18*'2.  Scheme Wide'!$E$45)</f>
        <v>1293</v>
      </c>
      <c r="CH18" s="245">
        <f>CG18+(CG18*'2.  Scheme Wide'!$E$45)</f>
        <v>1293</v>
      </c>
      <c r="CI18" s="245">
        <f>CH18+(CH18*'2.  Scheme Wide'!$E$45)</f>
        <v>1293</v>
      </c>
    </row>
    <row r="19" spans="2:87">
      <c r="B19" s="44" t="s">
        <v>173</v>
      </c>
      <c r="D19" s="23">
        <f>'3. Site Based'!F9</f>
        <v>1293</v>
      </c>
      <c r="E19" s="245">
        <f t="shared" ref="E19:F26" si="2">D19</f>
        <v>1293</v>
      </c>
      <c r="F19" s="245">
        <f t="shared" si="2"/>
        <v>1293</v>
      </c>
      <c r="G19" s="245">
        <f t="shared" ref="G19:G26" si="3">F19</f>
        <v>1293</v>
      </c>
      <c r="H19" s="245">
        <f>G19+(G19*'2.  Scheme Wide'!$E$45)</f>
        <v>1293</v>
      </c>
      <c r="I19" s="245">
        <f>H19+(H19*'2.  Scheme Wide'!$E$45)</f>
        <v>1293</v>
      </c>
      <c r="J19" s="245">
        <f>I19+(I19*'2.  Scheme Wide'!$E$45)</f>
        <v>1293</v>
      </c>
      <c r="K19" s="245">
        <f>J19+(J19*'2.  Scheme Wide'!$E$45)</f>
        <v>1293</v>
      </c>
      <c r="L19" s="245">
        <f>K19+(K19*'2.  Scheme Wide'!$E$45)</f>
        <v>1293</v>
      </c>
      <c r="M19" s="245">
        <f>L19+(L19*'2.  Scheme Wide'!$E$45)</f>
        <v>1293</v>
      </c>
      <c r="N19" s="245">
        <f>M19+(M19*'2.  Scheme Wide'!$E$45)</f>
        <v>1293</v>
      </c>
      <c r="O19" s="245">
        <f>N19+(N19*'2.  Scheme Wide'!$E$45)</f>
        <v>1293</v>
      </c>
      <c r="P19" s="245">
        <f>O19+(O19*'2.  Scheme Wide'!$E$45)</f>
        <v>1293</v>
      </c>
      <c r="Q19" s="363">
        <f>P19+(P19*'2.  Scheme Wide'!$E$45)</f>
        <v>1293</v>
      </c>
      <c r="R19" s="245">
        <f>Q19+(Q19*'2.  Scheme Wide'!$E$45)</f>
        <v>1293</v>
      </c>
      <c r="S19" s="245">
        <f>R19+(R19*'2.  Scheme Wide'!$E$45)</f>
        <v>1293</v>
      </c>
      <c r="T19" s="245">
        <f>S19+(S19*'2.  Scheme Wide'!$E$45)</f>
        <v>1293</v>
      </c>
      <c r="U19" s="245">
        <f>T19+(T19*'2.  Scheme Wide'!$E$45)</f>
        <v>1293</v>
      </c>
      <c r="V19" s="245">
        <f>U19+(U19*'2.  Scheme Wide'!$E$45)</f>
        <v>1293</v>
      </c>
      <c r="W19" s="245">
        <f>V19+(V19*'2.  Scheme Wide'!$E$45)</f>
        <v>1293</v>
      </c>
      <c r="X19" s="245">
        <f>W19+(W19*'2.  Scheme Wide'!$E$45)</f>
        <v>1293</v>
      </c>
      <c r="Y19" s="245">
        <f>X19+(X19*'2.  Scheme Wide'!$E$45)</f>
        <v>1293</v>
      </c>
      <c r="Z19" s="245">
        <f>Y19+(Y19*'2.  Scheme Wide'!$E$45)</f>
        <v>1293</v>
      </c>
      <c r="AA19" s="245">
        <f>Z19+(Z19*'2.  Scheme Wide'!$E$45)</f>
        <v>1293</v>
      </c>
      <c r="AB19" s="245">
        <f>AA19+(AA19*'2.  Scheme Wide'!$E$45)</f>
        <v>1293</v>
      </c>
      <c r="AC19" s="245">
        <f>AB19+(AB19*'2.  Scheme Wide'!$E$45)</f>
        <v>1293</v>
      </c>
      <c r="AD19" s="245">
        <f>AC19+(AC19*'2.  Scheme Wide'!$E$45)</f>
        <v>1293</v>
      </c>
      <c r="AE19" s="245">
        <f>AD19+(AD19*'2.  Scheme Wide'!$E$45)</f>
        <v>1293</v>
      </c>
      <c r="AF19" s="245">
        <f>AE19+(AE19*'2.  Scheme Wide'!$E$45)</f>
        <v>1293</v>
      </c>
      <c r="AG19" s="245">
        <f>AF19+(AF19*'2.  Scheme Wide'!$E$45)</f>
        <v>1293</v>
      </c>
      <c r="AH19" s="245">
        <f>AG19+(AG19*'2.  Scheme Wide'!$E$45)</f>
        <v>1293</v>
      </c>
      <c r="AI19" s="245">
        <f>AH19+(AH19*'2.  Scheme Wide'!$E$45)</f>
        <v>1293</v>
      </c>
      <c r="AJ19" s="245">
        <f>AI19+(AI19*'2.  Scheme Wide'!$E$45)</f>
        <v>1293</v>
      </c>
      <c r="AK19" s="245">
        <f>AJ19+(AJ19*'2.  Scheme Wide'!$E$45)</f>
        <v>1293</v>
      </c>
      <c r="AL19" s="245">
        <f>AK19+(AK19*'2.  Scheme Wide'!$E$45)</f>
        <v>1293</v>
      </c>
      <c r="AM19" s="245">
        <f>AL19+(AL19*'2.  Scheme Wide'!$E$45)</f>
        <v>1293</v>
      </c>
      <c r="AN19" s="245">
        <f>AM19+(AM19*'2.  Scheme Wide'!$E$45)</f>
        <v>1293</v>
      </c>
      <c r="AO19" s="245">
        <f>AN19+(AN19*'2.  Scheme Wide'!$E$45)</f>
        <v>1293</v>
      </c>
      <c r="AP19" s="245">
        <f>AO19+(AO19*'2.  Scheme Wide'!$E$45)</f>
        <v>1293</v>
      </c>
      <c r="AQ19" s="245">
        <f>AP19+(AP19*'2.  Scheme Wide'!$E$45)</f>
        <v>1293</v>
      </c>
      <c r="AR19" s="245">
        <f>AQ19+(AQ19*'2.  Scheme Wide'!$E$45)</f>
        <v>1293</v>
      </c>
      <c r="AS19" s="245">
        <f>AR19+(AR19*'2.  Scheme Wide'!$E$45)</f>
        <v>1293</v>
      </c>
      <c r="AT19" s="245">
        <f>AS19+(AS19*'2.  Scheme Wide'!$E$45)</f>
        <v>1293</v>
      </c>
      <c r="AU19" s="245">
        <f>AT19+(AT19*'2.  Scheme Wide'!$E$45)</f>
        <v>1293</v>
      </c>
      <c r="AV19" s="245">
        <f>AU19+(AU19*'2.  Scheme Wide'!$E$45)</f>
        <v>1293</v>
      </c>
      <c r="AW19" s="245">
        <f>AV19+(AV19*'2.  Scheme Wide'!$E$45)</f>
        <v>1293</v>
      </c>
      <c r="AX19" s="245">
        <f>AW19+(AW19*'2.  Scheme Wide'!$E$45)</f>
        <v>1293</v>
      </c>
      <c r="AY19" s="245">
        <f>AX19+(AX19*'2.  Scheme Wide'!$E$45)</f>
        <v>1293</v>
      </c>
      <c r="AZ19" s="245">
        <f>AY19+(AY19*'2.  Scheme Wide'!$E$45)</f>
        <v>1293</v>
      </c>
      <c r="BA19" s="245">
        <f>AZ19+(AZ19*'2.  Scheme Wide'!$E$45)</f>
        <v>1293</v>
      </c>
      <c r="BB19" s="245">
        <f>BA19+(BA19*'2.  Scheme Wide'!$E$45)</f>
        <v>1293</v>
      </c>
      <c r="BC19" s="245">
        <f>BB19+(BB19*'2.  Scheme Wide'!$E$45)</f>
        <v>1293</v>
      </c>
      <c r="BD19" s="245">
        <f>BC19+(BC19*'2.  Scheme Wide'!$E$45)</f>
        <v>1293</v>
      </c>
      <c r="BE19" s="245">
        <f>BD19+(BD19*'2.  Scheme Wide'!$E$45)</f>
        <v>1293</v>
      </c>
      <c r="BF19" s="245">
        <f>BE19+(BE19*'2.  Scheme Wide'!$E$45)</f>
        <v>1293</v>
      </c>
      <c r="BG19" s="245">
        <f>BF19+(BF19*'2.  Scheme Wide'!$E$45)</f>
        <v>1293</v>
      </c>
      <c r="BH19" s="245">
        <f>BG19+(BG19*'2.  Scheme Wide'!$E$45)</f>
        <v>1293</v>
      </c>
      <c r="BI19" s="245">
        <f>BH19+(BH19*'2.  Scheme Wide'!$E$45)</f>
        <v>1293</v>
      </c>
      <c r="BJ19" s="245">
        <f>BI19+(BI19*'2.  Scheme Wide'!$E$45)</f>
        <v>1293</v>
      </c>
      <c r="BK19" s="245">
        <f>BJ19+(BJ19*'2.  Scheme Wide'!$E$45)</f>
        <v>1293</v>
      </c>
      <c r="BL19" s="245">
        <f>BK19+(BK19*'2.  Scheme Wide'!$E$45)</f>
        <v>1293</v>
      </c>
      <c r="BM19" s="245">
        <f>BL19+(BL19*'2.  Scheme Wide'!$E$45)</f>
        <v>1293</v>
      </c>
      <c r="BN19" s="245">
        <f>BM19+(BM19*'2.  Scheme Wide'!$E$45)</f>
        <v>1293</v>
      </c>
      <c r="BO19" s="245">
        <f>BN19+(BN19*'2.  Scheme Wide'!$E$45)</f>
        <v>1293</v>
      </c>
      <c r="BP19" s="245">
        <f>BO19+(BO19*'2.  Scheme Wide'!$E$45)</f>
        <v>1293</v>
      </c>
      <c r="BQ19" s="245">
        <f>BP19+(BP19*'2.  Scheme Wide'!$E$45)</f>
        <v>1293</v>
      </c>
      <c r="BR19" s="245">
        <f>BQ19+(BQ19*'2.  Scheme Wide'!$E$45)</f>
        <v>1293</v>
      </c>
      <c r="BS19" s="245">
        <f>BR19+(BR19*'2.  Scheme Wide'!$E$45)</f>
        <v>1293</v>
      </c>
      <c r="BT19" s="245">
        <f>BS19+(BS19*'2.  Scheme Wide'!$E$45)</f>
        <v>1293</v>
      </c>
      <c r="BU19" s="245">
        <f>BT19+(BT19*'2.  Scheme Wide'!$E$45)</f>
        <v>1293</v>
      </c>
      <c r="BV19" s="245">
        <f>BU19+(BU19*'2.  Scheme Wide'!$E$45)</f>
        <v>1293</v>
      </c>
      <c r="BW19" s="245">
        <f>BV19+(BV19*'2.  Scheme Wide'!$E$45)</f>
        <v>1293</v>
      </c>
      <c r="BX19" s="245">
        <f>BW19+(BW19*'2.  Scheme Wide'!$E$45)</f>
        <v>1293</v>
      </c>
      <c r="BY19" s="245">
        <f>BX19+(BX19*'2.  Scheme Wide'!$E$45)</f>
        <v>1293</v>
      </c>
      <c r="BZ19" s="245">
        <f>BY19+(BY19*'2.  Scheme Wide'!$E$45)</f>
        <v>1293</v>
      </c>
      <c r="CA19" s="245">
        <f>BZ19+(BZ19*'2.  Scheme Wide'!$E$45)</f>
        <v>1293</v>
      </c>
      <c r="CB19" s="245">
        <f>CA19+(CA19*'2.  Scheme Wide'!$E$45)</f>
        <v>1293</v>
      </c>
      <c r="CC19" s="245">
        <f>CB19+(CB19*'2.  Scheme Wide'!$E$45)</f>
        <v>1293</v>
      </c>
      <c r="CD19" s="245">
        <f>CC19+(CC19*'2.  Scheme Wide'!$E$45)</f>
        <v>1293</v>
      </c>
      <c r="CE19" s="245">
        <f>CD19+(CD19*'2.  Scheme Wide'!$E$45)</f>
        <v>1293</v>
      </c>
      <c r="CF19" s="245">
        <f>CE19+(CE19*'2.  Scheme Wide'!$E$45)</f>
        <v>1293</v>
      </c>
      <c r="CG19" s="245">
        <f>CF19+(CF19*'2.  Scheme Wide'!$E$45)</f>
        <v>1293</v>
      </c>
      <c r="CH19" s="245">
        <f>CG19+(CG19*'2.  Scheme Wide'!$E$45)</f>
        <v>1293</v>
      </c>
      <c r="CI19" s="245">
        <f>CH19+(CH19*'2.  Scheme Wide'!$E$45)</f>
        <v>1293</v>
      </c>
    </row>
    <row r="20" spans="2:87">
      <c r="B20" s="44" t="s">
        <v>174</v>
      </c>
      <c r="D20" s="23">
        <f>'3. Site Based'!G9</f>
        <v>1293</v>
      </c>
      <c r="E20" s="245">
        <f t="shared" si="2"/>
        <v>1293</v>
      </c>
      <c r="F20" s="245">
        <f t="shared" si="2"/>
        <v>1293</v>
      </c>
      <c r="G20" s="245">
        <f t="shared" si="3"/>
        <v>1293</v>
      </c>
      <c r="H20" s="245">
        <f>G20+(G20*'2.  Scheme Wide'!$E$45)</f>
        <v>1293</v>
      </c>
      <c r="I20" s="245">
        <f>H20+(H20*'2.  Scheme Wide'!$E$45)</f>
        <v>1293</v>
      </c>
      <c r="J20" s="245">
        <f>I20+(I20*'2.  Scheme Wide'!$E$45)</f>
        <v>1293</v>
      </c>
      <c r="K20" s="245">
        <f>J20+(J20*'2.  Scheme Wide'!$E$45)</f>
        <v>1293</v>
      </c>
      <c r="L20" s="245">
        <f>K20+(K20*'2.  Scheme Wide'!$E$45)</f>
        <v>1293</v>
      </c>
      <c r="M20" s="245">
        <f>L20+(L20*'2.  Scheme Wide'!$E$45)</f>
        <v>1293</v>
      </c>
      <c r="N20" s="245">
        <f>M20+(M20*'2.  Scheme Wide'!$E$45)</f>
        <v>1293</v>
      </c>
      <c r="O20" s="245">
        <f>N20+(N20*'2.  Scheme Wide'!$E$45)</f>
        <v>1293</v>
      </c>
      <c r="P20" s="245">
        <f>O20+(O20*'2.  Scheme Wide'!$E$45)</f>
        <v>1293</v>
      </c>
      <c r="Q20" s="363">
        <f>P20+(P20*'2.  Scheme Wide'!$E$45)</f>
        <v>1293</v>
      </c>
      <c r="R20" s="245">
        <f>Q20+(Q20*'2.  Scheme Wide'!$E$45)</f>
        <v>1293</v>
      </c>
      <c r="S20" s="245">
        <f>R20+(R20*'2.  Scheme Wide'!$E$45)</f>
        <v>1293</v>
      </c>
      <c r="T20" s="245">
        <f>S20+(S20*'2.  Scheme Wide'!$E$45)</f>
        <v>1293</v>
      </c>
      <c r="U20" s="245">
        <f>T20+(T20*'2.  Scheme Wide'!$E$45)</f>
        <v>1293</v>
      </c>
      <c r="V20" s="245">
        <f>U20+(U20*'2.  Scheme Wide'!$E$45)</f>
        <v>1293</v>
      </c>
      <c r="W20" s="245">
        <f>V20+(V20*'2.  Scheme Wide'!$E$45)</f>
        <v>1293</v>
      </c>
      <c r="X20" s="245">
        <f>W20+(W20*'2.  Scheme Wide'!$E$45)</f>
        <v>1293</v>
      </c>
      <c r="Y20" s="245">
        <f>X20+(X20*'2.  Scheme Wide'!$E$45)</f>
        <v>1293</v>
      </c>
      <c r="Z20" s="245">
        <f>Y20+(Y20*'2.  Scheme Wide'!$E$45)</f>
        <v>1293</v>
      </c>
      <c r="AA20" s="245">
        <f>Z20+(Z20*'2.  Scheme Wide'!$E$45)</f>
        <v>1293</v>
      </c>
      <c r="AB20" s="245">
        <f>AA20+(AA20*'2.  Scheme Wide'!$E$45)</f>
        <v>1293</v>
      </c>
      <c r="AC20" s="245">
        <f>AB20+(AB20*'2.  Scheme Wide'!$E$45)</f>
        <v>1293</v>
      </c>
      <c r="AD20" s="245">
        <f>AC20+(AC20*'2.  Scheme Wide'!$E$45)</f>
        <v>1293</v>
      </c>
      <c r="AE20" s="245">
        <f>AD20+(AD20*'2.  Scheme Wide'!$E$45)</f>
        <v>1293</v>
      </c>
      <c r="AF20" s="245">
        <f>AE20+(AE20*'2.  Scheme Wide'!$E$45)</f>
        <v>1293</v>
      </c>
      <c r="AG20" s="245">
        <f>AF20+(AF20*'2.  Scheme Wide'!$E$45)</f>
        <v>1293</v>
      </c>
      <c r="AH20" s="245">
        <f>AG20+(AG20*'2.  Scheme Wide'!$E$45)</f>
        <v>1293</v>
      </c>
      <c r="AI20" s="245">
        <f>AH20+(AH20*'2.  Scheme Wide'!$E$45)</f>
        <v>1293</v>
      </c>
      <c r="AJ20" s="245">
        <f>AI20+(AI20*'2.  Scheme Wide'!$E$45)</f>
        <v>1293</v>
      </c>
      <c r="AK20" s="245">
        <f>AJ20+(AJ20*'2.  Scheme Wide'!$E$45)</f>
        <v>1293</v>
      </c>
      <c r="AL20" s="245">
        <f>AK20+(AK20*'2.  Scheme Wide'!$E$45)</f>
        <v>1293</v>
      </c>
      <c r="AM20" s="245">
        <f>AL20+(AL20*'2.  Scheme Wide'!$E$45)</f>
        <v>1293</v>
      </c>
      <c r="AN20" s="245">
        <f>AM20+(AM20*'2.  Scheme Wide'!$E$45)</f>
        <v>1293</v>
      </c>
      <c r="AO20" s="245">
        <f>AN20+(AN20*'2.  Scheme Wide'!$E$45)</f>
        <v>1293</v>
      </c>
      <c r="AP20" s="245">
        <f>AO20+(AO20*'2.  Scheme Wide'!$E$45)</f>
        <v>1293</v>
      </c>
      <c r="AQ20" s="245">
        <f>AP20+(AP20*'2.  Scheme Wide'!$E$45)</f>
        <v>1293</v>
      </c>
      <c r="AR20" s="245">
        <f>AQ20+(AQ20*'2.  Scheme Wide'!$E$45)</f>
        <v>1293</v>
      </c>
      <c r="AS20" s="245">
        <f>AR20+(AR20*'2.  Scheme Wide'!$E$45)</f>
        <v>1293</v>
      </c>
      <c r="AT20" s="245">
        <f>AS20+(AS20*'2.  Scheme Wide'!$E$45)</f>
        <v>1293</v>
      </c>
      <c r="AU20" s="245">
        <f>AT20+(AT20*'2.  Scheme Wide'!$E$45)</f>
        <v>1293</v>
      </c>
      <c r="AV20" s="245">
        <f>AU20+(AU20*'2.  Scheme Wide'!$E$45)</f>
        <v>1293</v>
      </c>
      <c r="AW20" s="245">
        <f>AV20+(AV20*'2.  Scheme Wide'!$E$45)</f>
        <v>1293</v>
      </c>
      <c r="AX20" s="245">
        <f>AW20+(AW20*'2.  Scheme Wide'!$E$45)</f>
        <v>1293</v>
      </c>
      <c r="AY20" s="245">
        <f>AX20+(AX20*'2.  Scheme Wide'!$E$45)</f>
        <v>1293</v>
      </c>
      <c r="AZ20" s="245">
        <f>AY20+(AY20*'2.  Scheme Wide'!$E$45)</f>
        <v>1293</v>
      </c>
      <c r="BA20" s="245">
        <f>AZ20+(AZ20*'2.  Scheme Wide'!$E$45)</f>
        <v>1293</v>
      </c>
      <c r="BB20" s="245">
        <f>BA20+(BA20*'2.  Scheme Wide'!$E$45)</f>
        <v>1293</v>
      </c>
      <c r="BC20" s="245">
        <f>BB20+(BB20*'2.  Scheme Wide'!$E$45)</f>
        <v>1293</v>
      </c>
      <c r="BD20" s="245">
        <f>BC20+(BC20*'2.  Scheme Wide'!$E$45)</f>
        <v>1293</v>
      </c>
      <c r="BE20" s="245">
        <f>BD20+(BD20*'2.  Scheme Wide'!$E$45)</f>
        <v>1293</v>
      </c>
      <c r="BF20" s="245">
        <f>BE20+(BE20*'2.  Scheme Wide'!$E$45)</f>
        <v>1293</v>
      </c>
      <c r="BG20" s="245">
        <f>BF20+(BF20*'2.  Scheme Wide'!$E$45)</f>
        <v>1293</v>
      </c>
      <c r="BH20" s="245">
        <f>BG20+(BG20*'2.  Scheme Wide'!$E$45)</f>
        <v>1293</v>
      </c>
      <c r="BI20" s="245">
        <f>BH20+(BH20*'2.  Scheme Wide'!$E$45)</f>
        <v>1293</v>
      </c>
      <c r="BJ20" s="245">
        <f>BI20+(BI20*'2.  Scheme Wide'!$E$45)</f>
        <v>1293</v>
      </c>
      <c r="BK20" s="245">
        <f>BJ20+(BJ20*'2.  Scheme Wide'!$E$45)</f>
        <v>1293</v>
      </c>
      <c r="BL20" s="245">
        <f>BK20+(BK20*'2.  Scheme Wide'!$E$45)</f>
        <v>1293</v>
      </c>
      <c r="BM20" s="245">
        <f>BL20+(BL20*'2.  Scheme Wide'!$E$45)</f>
        <v>1293</v>
      </c>
      <c r="BN20" s="245">
        <f>BM20+(BM20*'2.  Scheme Wide'!$E$45)</f>
        <v>1293</v>
      </c>
      <c r="BO20" s="245">
        <f>BN20+(BN20*'2.  Scheme Wide'!$E$45)</f>
        <v>1293</v>
      </c>
      <c r="BP20" s="245">
        <f>BO20+(BO20*'2.  Scheme Wide'!$E$45)</f>
        <v>1293</v>
      </c>
      <c r="BQ20" s="245">
        <f>BP20+(BP20*'2.  Scheme Wide'!$E$45)</f>
        <v>1293</v>
      </c>
      <c r="BR20" s="245">
        <f>BQ20+(BQ20*'2.  Scheme Wide'!$E$45)</f>
        <v>1293</v>
      </c>
      <c r="BS20" s="245">
        <f>BR20+(BR20*'2.  Scheme Wide'!$E$45)</f>
        <v>1293</v>
      </c>
      <c r="BT20" s="245">
        <f>BS20+(BS20*'2.  Scheme Wide'!$E$45)</f>
        <v>1293</v>
      </c>
      <c r="BU20" s="245">
        <f>BT20+(BT20*'2.  Scheme Wide'!$E$45)</f>
        <v>1293</v>
      </c>
      <c r="BV20" s="245">
        <f>BU20+(BU20*'2.  Scheme Wide'!$E$45)</f>
        <v>1293</v>
      </c>
      <c r="BW20" s="245">
        <f>BV20+(BV20*'2.  Scheme Wide'!$E$45)</f>
        <v>1293</v>
      </c>
      <c r="BX20" s="245">
        <f>BW20+(BW20*'2.  Scheme Wide'!$E$45)</f>
        <v>1293</v>
      </c>
      <c r="BY20" s="245">
        <f>BX20+(BX20*'2.  Scheme Wide'!$E$45)</f>
        <v>1293</v>
      </c>
      <c r="BZ20" s="245">
        <f>BY20+(BY20*'2.  Scheme Wide'!$E$45)</f>
        <v>1293</v>
      </c>
      <c r="CA20" s="245">
        <f>BZ20+(BZ20*'2.  Scheme Wide'!$E$45)</f>
        <v>1293</v>
      </c>
      <c r="CB20" s="245">
        <f>CA20+(CA20*'2.  Scheme Wide'!$E$45)</f>
        <v>1293</v>
      </c>
      <c r="CC20" s="245">
        <f>CB20+(CB20*'2.  Scheme Wide'!$E$45)</f>
        <v>1293</v>
      </c>
      <c r="CD20" s="245">
        <f>CC20+(CC20*'2.  Scheme Wide'!$E$45)</f>
        <v>1293</v>
      </c>
      <c r="CE20" s="245">
        <f>CD20+(CD20*'2.  Scheme Wide'!$E$45)</f>
        <v>1293</v>
      </c>
      <c r="CF20" s="245">
        <f>CE20+(CE20*'2.  Scheme Wide'!$E$45)</f>
        <v>1293</v>
      </c>
      <c r="CG20" s="245">
        <f>CF20+(CF20*'2.  Scheme Wide'!$E$45)</f>
        <v>1293</v>
      </c>
      <c r="CH20" s="245">
        <f>CG20+(CG20*'2.  Scheme Wide'!$E$45)</f>
        <v>1293</v>
      </c>
      <c r="CI20" s="245">
        <f>CH20+(CH20*'2.  Scheme Wide'!$E$45)</f>
        <v>1293</v>
      </c>
    </row>
    <row r="21" spans="2:87">
      <c r="B21" s="44" t="s">
        <v>175</v>
      </c>
      <c r="D21" s="23">
        <f>'3. Site Based'!I9</f>
        <v>1293</v>
      </c>
      <c r="E21" s="245">
        <f t="shared" si="2"/>
        <v>1293</v>
      </c>
      <c r="F21" s="245">
        <f t="shared" si="2"/>
        <v>1293</v>
      </c>
      <c r="G21" s="245">
        <f t="shared" si="3"/>
        <v>1293</v>
      </c>
      <c r="H21" s="245">
        <f>G21+(G21*'2.  Scheme Wide'!$E$45)</f>
        <v>1293</v>
      </c>
      <c r="I21" s="245">
        <f>H21+(H21*'2.  Scheme Wide'!$E$45)</f>
        <v>1293</v>
      </c>
      <c r="J21" s="245">
        <f>I21+(I21*'2.  Scheme Wide'!$E$45)</f>
        <v>1293</v>
      </c>
      <c r="K21" s="245">
        <f>J21+(J21*'2.  Scheme Wide'!$E$45)</f>
        <v>1293</v>
      </c>
      <c r="L21" s="245">
        <f>K21+(K21*'2.  Scheme Wide'!$E$45)</f>
        <v>1293</v>
      </c>
      <c r="M21" s="245">
        <f>L21+(L21*'2.  Scheme Wide'!$E$45)</f>
        <v>1293</v>
      </c>
      <c r="N21" s="245">
        <f>M21+(M21*'2.  Scheme Wide'!$E$45)</f>
        <v>1293</v>
      </c>
      <c r="O21" s="245">
        <f>N21+(N21*'2.  Scheme Wide'!$E$45)</f>
        <v>1293</v>
      </c>
      <c r="P21" s="245">
        <f>O21+(O21*'2.  Scheme Wide'!$E$45)</f>
        <v>1293</v>
      </c>
      <c r="Q21" s="363">
        <f>P21+(P21*'2.  Scheme Wide'!$E$45)</f>
        <v>1293</v>
      </c>
      <c r="R21" s="245">
        <f>Q21+(Q21*'2.  Scheme Wide'!$E$45)</f>
        <v>1293</v>
      </c>
      <c r="S21" s="245">
        <f>R21+(R21*'2.  Scheme Wide'!$E$45)</f>
        <v>1293</v>
      </c>
      <c r="T21" s="245">
        <f>S21+(S21*'2.  Scheme Wide'!$E$45)</f>
        <v>1293</v>
      </c>
      <c r="U21" s="245">
        <f>T21+(T21*'2.  Scheme Wide'!$E$45)</f>
        <v>1293</v>
      </c>
      <c r="V21" s="245">
        <f>U21+(U21*'2.  Scheme Wide'!$E$45)</f>
        <v>1293</v>
      </c>
      <c r="W21" s="245">
        <f>V21+(V21*'2.  Scheme Wide'!$E$45)</f>
        <v>1293</v>
      </c>
      <c r="X21" s="245">
        <f>W21+(W21*'2.  Scheme Wide'!$E$45)</f>
        <v>1293</v>
      </c>
      <c r="Y21" s="245">
        <f>X21+(X21*'2.  Scheme Wide'!$E$45)</f>
        <v>1293</v>
      </c>
      <c r="Z21" s="245">
        <f>Y21+(Y21*'2.  Scheme Wide'!$E$45)</f>
        <v>1293</v>
      </c>
      <c r="AA21" s="245">
        <f>Z21+(Z21*'2.  Scheme Wide'!$E$45)</f>
        <v>1293</v>
      </c>
      <c r="AB21" s="245">
        <f>AA21+(AA21*'2.  Scheme Wide'!$E$45)</f>
        <v>1293</v>
      </c>
      <c r="AC21" s="245">
        <f>AB21+(AB21*'2.  Scheme Wide'!$E$45)</f>
        <v>1293</v>
      </c>
      <c r="AD21" s="245">
        <f>AC21+(AC21*'2.  Scheme Wide'!$E$45)</f>
        <v>1293</v>
      </c>
      <c r="AE21" s="245">
        <f>AD21+(AD21*'2.  Scheme Wide'!$E$45)</f>
        <v>1293</v>
      </c>
      <c r="AF21" s="245">
        <f>AE21+(AE21*'2.  Scheme Wide'!$E$45)</f>
        <v>1293</v>
      </c>
      <c r="AG21" s="245">
        <f>AF21+(AF21*'2.  Scheme Wide'!$E$45)</f>
        <v>1293</v>
      </c>
      <c r="AH21" s="245">
        <f>AG21+(AG21*'2.  Scheme Wide'!$E$45)</f>
        <v>1293</v>
      </c>
      <c r="AI21" s="245">
        <f>AH21+(AH21*'2.  Scheme Wide'!$E$45)</f>
        <v>1293</v>
      </c>
      <c r="AJ21" s="245">
        <f>AI21+(AI21*'2.  Scheme Wide'!$E$45)</f>
        <v>1293</v>
      </c>
      <c r="AK21" s="245">
        <f>AJ21+(AJ21*'2.  Scheme Wide'!$E$45)</f>
        <v>1293</v>
      </c>
      <c r="AL21" s="245">
        <f>AK21+(AK21*'2.  Scheme Wide'!$E$45)</f>
        <v>1293</v>
      </c>
      <c r="AM21" s="245">
        <f>AL21+(AL21*'2.  Scheme Wide'!$E$45)</f>
        <v>1293</v>
      </c>
      <c r="AN21" s="245">
        <f>AM21+(AM21*'2.  Scheme Wide'!$E$45)</f>
        <v>1293</v>
      </c>
      <c r="AO21" s="245">
        <f>AN21+(AN21*'2.  Scheme Wide'!$E$45)</f>
        <v>1293</v>
      </c>
      <c r="AP21" s="245">
        <f>AO21+(AO21*'2.  Scheme Wide'!$E$45)</f>
        <v>1293</v>
      </c>
      <c r="AQ21" s="245">
        <f>AP21+(AP21*'2.  Scheme Wide'!$E$45)</f>
        <v>1293</v>
      </c>
      <c r="AR21" s="245">
        <f>AQ21+(AQ21*'2.  Scheme Wide'!$E$45)</f>
        <v>1293</v>
      </c>
      <c r="AS21" s="245">
        <f>AR21+(AR21*'2.  Scheme Wide'!$E$45)</f>
        <v>1293</v>
      </c>
      <c r="AT21" s="245">
        <f>AS21+(AS21*'2.  Scheme Wide'!$E$45)</f>
        <v>1293</v>
      </c>
      <c r="AU21" s="245">
        <f>AT21+(AT21*'2.  Scheme Wide'!$E$45)</f>
        <v>1293</v>
      </c>
      <c r="AV21" s="245">
        <f>AU21+(AU21*'2.  Scheme Wide'!$E$45)</f>
        <v>1293</v>
      </c>
      <c r="AW21" s="245">
        <f>AV21+(AV21*'2.  Scheme Wide'!$E$45)</f>
        <v>1293</v>
      </c>
      <c r="AX21" s="245">
        <f>AW21+(AW21*'2.  Scheme Wide'!$E$45)</f>
        <v>1293</v>
      </c>
      <c r="AY21" s="245">
        <f>AX21+(AX21*'2.  Scheme Wide'!$E$45)</f>
        <v>1293</v>
      </c>
      <c r="AZ21" s="245">
        <f>AY21+(AY21*'2.  Scheme Wide'!$E$45)</f>
        <v>1293</v>
      </c>
      <c r="BA21" s="245">
        <f>AZ21+(AZ21*'2.  Scheme Wide'!$E$45)</f>
        <v>1293</v>
      </c>
      <c r="BB21" s="245">
        <f>BA21+(BA21*'2.  Scheme Wide'!$E$45)</f>
        <v>1293</v>
      </c>
      <c r="BC21" s="245">
        <f>BB21+(BB21*'2.  Scheme Wide'!$E$45)</f>
        <v>1293</v>
      </c>
      <c r="BD21" s="245">
        <f>BC21+(BC21*'2.  Scheme Wide'!$E$45)</f>
        <v>1293</v>
      </c>
      <c r="BE21" s="245">
        <f>BD21+(BD21*'2.  Scheme Wide'!$E$45)</f>
        <v>1293</v>
      </c>
      <c r="BF21" s="245">
        <f>BE21+(BE21*'2.  Scheme Wide'!$E$45)</f>
        <v>1293</v>
      </c>
      <c r="BG21" s="245">
        <f>BF21+(BF21*'2.  Scheme Wide'!$E$45)</f>
        <v>1293</v>
      </c>
      <c r="BH21" s="245">
        <f>BG21+(BG21*'2.  Scheme Wide'!$E$45)</f>
        <v>1293</v>
      </c>
      <c r="BI21" s="245">
        <f>BH21+(BH21*'2.  Scheme Wide'!$E$45)</f>
        <v>1293</v>
      </c>
      <c r="BJ21" s="245">
        <f>BI21+(BI21*'2.  Scheme Wide'!$E$45)</f>
        <v>1293</v>
      </c>
      <c r="BK21" s="245">
        <f>BJ21+(BJ21*'2.  Scheme Wide'!$E$45)</f>
        <v>1293</v>
      </c>
      <c r="BL21" s="245">
        <f>BK21+(BK21*'2.  Scheme Wide'!$E$45)</f>
        <v>1293</v>
      </c>
      <c r="BM21" s="245">
        <f>BL21+(BL21*'2.  Scheme Wide'!$E$45)</f>
        <v>1293</v>
      </c>
      <c r="BN21" s="245">
        <f>BM21+(BM21*'2.  Scheme Wide'!$E$45)</f>
        <v>1293</v>
      </c>
      <c r="BO21" s="245">
        <f>BN21+(BN21*'2.  Scheme Wide'!$E$45)</f>
        <v>1293</v>
      </c>
      <c r="BP21" s="245">
        <f>BO21+(BO21*'2.  Scheme Wide'!$E$45)</f>
        <v>1293</v>
      </c>
      <c r="BQ21" s="245">
        <f>BP21+(BP21*'2.  Scheme Wide'!$E$45)</f>
        <v>1293</v>
      </c>
      <c r="BR21" s="245">
        <f>BQ21+(BQ21*'2.  Scheme Wide'!$E$45)</f>
        <v>1293</v>
      </c>
      <c r="BS21" s="245">
        <f>BR21+(BR21*'2.  Scheme Wide'!$E$45)</f>
        <v>1293</v>
      </c>
      <c r="BT21" s="245">
        <f>BS21+(BS21*'2.  Scheme Wide'!$E$45)</f>
        <v>1293</v>
      </c>
      <c r="BU21" s="245">
        <f>BT21+(BT21*'2.  Scheme Wide'!$E$45)</f>
        <v>1293</v>
      </c>
      <c r="BV21" s="245">
        <f>BU21+(BU21*'2.  Scheme Wide'!$E$45)</f>
        <v>1293</v>
      </c>
      <c r="BW21" s="245">
        <f>BV21+(BV21*'2.  Scheme Wide'!$E$45)</f>
        <v>1293</v>
      </c>
      <c r="BX21" s="245">
        <f>BW21+(BW21*'2.  Scheme Wide'!$E$45)</f>
        <v>1293</v>
      </c>
      <c r="BY21" s="245">
        <f>BX21+(BX21*'2.  Scheme Wide'!$E$45)</f>
        <v>1293</v>
      </c>
      <c r="BZ21" s="245">
        <f>BY21+(BY21*'2.  Scheme Wide'!$E$45)</f>
        <v>1293</v>
      </c>
      <c r="CA21" s="245">
        <f>BZ21+(BZ21*'2.  Scheme Wide'!$E$45)</f>
        <v>1293</v>
      </c>
      <c r="CB21" s="245">
        <f>CA21+(CA21*'2.  Scheme Wide'!$E$45)</f>
        <v>1293</v>
      </c>
      <c r="CC21" s="245">
        <f>CB21+(CB21*'2.  Scheme Wide'!$E$45)</f>
        <v>1293</v>
      </c>
      <c r="CD21" s="245">
        <f>CC21+(CC21*'2.  Scheme Wide'!$E$45)</f>
        <v>1293</v>
      </c>
      <c r="CE21" s="245">
        <f>CD21+(CD21*'2.  Scheme Wide'!$E$45)</f>
        <v>1293</v>
      </c>
      <c r="CF21" s="245">
        <f>CE21+(CE21*'2.  Scheme Wide'!$E$45)</f>
        <v>1293</v>
      </c>
      <c r="CG21" s="245">
        <f>CF21+(CF21*'2.  Scheme Wide'!$E$45)</f>
        <v>1293</v>
      </c>
      <c r="CH21" s="245">
        <f>CG21+(CG21*'2.  Scheme Wide'!$E$45)</f>
        <v>1293</v>
      </c>
      <c r="CI21" s="245">
        <f>CH21+(CH21*'2.  Scheme Wide'!$E$45)</f>
        <v>1293</v>
      </c>
    </row>
    <row r="22" spans="2:87">
      <c r="B22" s="44" t="s">
        <v>176</v>
      </c>
      <c r="D22" s="23">
        <f>'3. Site Based'!J9</f>
        <v>1293</v>
      </c>
      <c r="E22" s="245">
        <f t="shared" si="2"/>
        <v>1293</v>
      </c>
      <c r="F22" s="245">
        <f t="shared" si="2"/>
        <v>1293</v>
      </c>
      <c r="G22" s="245">
        <f t="shared" si="3"/>
        <v>1293</v>
      </c>
      <c r="H22" s="245">
        <f>G22+(G22*'2.  Scheme Wide'!$E$45)</f>
        <v>1293</v>
      </c>
      <c r="I22" s="245">
        <f>H22+(H22*'2.  Scheme Wide'!$E$45)</f>
        <v>1293</v>
      </c>
      <c r="J22" s="245">
        <f>I22+(I22*'2.  Scheme Wide'!$E$45)</f>
        <v>1293</v>
      </c>
      <c r="K22" s="245">
        <f>J22+(J22*'2.  Scheme Wide'!$E$45)</f>
        <v>1293</v>
      </c>
      <c r="L22" s="245">
        <f>K22+(K22*'2.  Scheme Wide'!$E$45)</f>
        <v>1293</v>
      </c>
      <c r="M22" s="245">
        <f>L22+(L22*'2.  Scheme Wide'!$E$45)</f>
        <v>1293</v>
      </c>
      <c r="N22" s="245">
        <f>M22+(M22*'2.  Scheme Wide'!$E$45)</f>
        <v>1293</v>
      </c>
      <c r="O22" s="245">
        <f>N22+(N22*'2.  Scheme Wide'!$E$45)</f>
        <v>1293</v>
      </c>
      <c r="P22" s="245">
        <f>O22+(O22*'2.  Scheme Wide'!$E$45)</f>
        <v>1293</v>
      </c>
      <c r="Q22" s="363">
        <f>P22+(P22*'2.  Scheme Wide'!$E$45)</f>
        <v>1293</v>
      </c>
      <c r="R22" s="245">
        <f>Q22+(Q22*'2.  Scheme Wide'!$E$45)</f>
        <v>1293</v>
      </c>
      <c r="S22" s="245">
        <f>R22+(R22*'2.  Scheme Wide'!$E$45)</f>
        <v>1293</v>
      </c>
      <c r="T22" s="245">
        <f>S22+(S22*'2.  Scheme Wide'!$E$45)</f>
        <v>1293</v>
      </c>
      <c r="U22" s="245">
        <f>T22+(T22*'2.  Scheme Wide'!$E$45)</f>
        <v>1293</v>
      </c>
      <c r="V22" s="245">
        <f>U22+(U22*'2.  Scheme Wide'!$E$45)</f>
        <v>1293</v>
      </c>
      <c r="W22" s="245">
        <f>V22+(V22*'2.  Scheme Wide'!$E$45)</f>
        <v>1293</v>
      </c>
      <c r="X22" s="245">
        <f>W22+(W22*'2.  Scheme Wide'!$E$45)</f>
        <v>1293</v>
      </c>
      <c r="Y22" s="245">
        <f>X22+(X22*'2.  Scheme Wide'!$E$45)</f>
        <v>1293</v>
      </c>
      <c r="Z22" s="245">
        <f>Y22+(Y22*'2.  Scheme Wide'!$E$45)</f>
        <v>1293</v>
      </c>
      <c r="AA22" s="245">
        <f>Z22+(Z22*'2.  Scheme Wide'!$E$45)</f>
        <v>1293</v>
      </c>
      <c r="AB22" s="245">
        <f>AA22+(AA22*'2.  Scheme Wide'!$E$45)</f>
        <v>1293</v>
      </c>
      <c r="AC22" s="245">
        <f>AB22+(AB22*'2.  Scheme Wide'!$E$45)</f>
        <v>1293</v>
      </c>
      <c r="AD22" s="245">
        <f>AC22+(AC22*'2.  Scheme Wide'!$E$45)</f>
        <v>1293</v>
      </c>
      <c r="AE22" s="245">
        <f>AD22+(AD22*'2.  Scheme Wide'!$E$45)</f>
        <v>1293</v>
      </c>
      <c r="AF22" s="245">
        <f>AE22+(AE22*'2.  Scheme Wide'!$E$45)</f>
        <v>1293</v>
      </c>
      <c r="AG22" s="245">
        <f>AF22+(AF22*'2.  Scheme Wide'!$E$45)</f>
        <v>1293</v>
      </c>
      <c r="AH22" s="245">
        <f>AG22+(AG22*'2.  Scheme Wide'!$E$45)</f>
        <v>1293</v>
      </c>
      <c r="AI22" s="245">
        <f>AH22+(AH22*'2.  Scheme Wide'!$E$45)</f>
        <v>1293</v>
      </c>
      <c r="AJ22" s="245">
        <f>AI22+(AI22*'2.  Scheme Wide'!$E$45)</f>
        <v>1293</v>
      </c>
      <c r="AK22" s="245">
        <f>AJ22+(AJ22*'2.  Scheme Wide'!$E$45)</f>
        <v>1293</v>
      </c>
      <c r="AL22" s="245">
        <f>AK22+(AK22*'2.  Scheme Wide'!$E$45)</f>
        <v>1293</v>
      </c>
      <c r="AM22" s="245">
        <f>AL22+(AL22*'2.  Scheme Wide'!$E$45)</f>
        <v>1293</v>
      </c>
      <c r="AN22" s="245">
        <f>AM22+(AM22*'2.  Scheme Wide'!$E$45)</f>
        <v>1293</v>
      </c>
      <c r="AO22" s="245">
        <f>AN22+(AN22*'2.  Scheme Wide'!$E$45)</f>
        <v>1293</v>
      </c>
      <c r="AP22" s="245">
        <f>AO22+(AO22*'2.  Scheme Wide'!$E$45)</f>
        <v>1293</v>
      </c>
      <c r="AQ22" s="245">
        <f>AP22+(AP22*'2.  Scheme Wide'!$E$45)</f>
        <v>1293</v>
      </c>
      <c r="AR22" s="245">
        <f>AQ22+(AQ22*'2.  Scheme Wide'!$E$45)</f>
        <v>1293</v>
      </c>
      <c r="AS22" s="245">
        <f>AR22+(AR22*'2.  Scheme Wide'!$E$45)</f>
        <v>1293</v>
      </c>
      <c r="AT22" s="245">
        <f>AS22+(AS22*'2.  Scheme Wide'!$E$45)</f>
        <v>1293</v>
      </c>
      <c r="AU22" s="245">
        <f>AT22+(AT22*'2.  Scheme Wide'!$E$45)</f>
        <v>1293</v>
      </c>
      <c r="AV22" s="245">
        <f>AU22+(AU22*'2.  Scheme Wide'!$E$45)</f>
        <v>1293</v>
      </c>
      <c r="AW22" s="245">
        <f>AV22+(AV22*'2.  Scheme Wide'!$E$45)</f>
        <v>1293</v>
      </c>
      <c r="AX22" s="245">
        <f>AW22+(AW22*'2.  Scheme Wide'!$E$45)</f>
        <v>1293</v>
      </c>
      <c r="AY22" s="245">
        <f>AX22+(AX22*'2.  Scheme Wide'!$E$45)</f>
        <v>1293</v>
      </c>
      <c r="AZ22" s="245">
        <f>AY22+(AY22*'2.  Scheme Wide'!$E$45)</f>
        <v>1293</v>
      </c>
      <c r="BA22" s="245">
        <f>AZ22+(AZ22*'2.  Scheme Wide'!$E$45)</f>
        <v>1293</v>
      </c>
      <c r="BB22" s="245">
        <f>BA22+(BA22*'2.  Scheme Wide'!$E$45)</f>
        <v>1293</v>
      </c>
      <c r="BC22" s="245">
        <f>BB22+(BB22*'2.  Scheme Wide'!$E$45)</f>
        <v>1293</v>
      </c>
      <c r="BD22" s="245">
        <f>BC22+(BC22*'2.  Scheme Wide'!$E$45)</f>
        <v>1293</v>
      </c>
      <c r="BE22" s="245">
        <f>BD22+(BD22*'2.  Scheme Wide'!$E$45)</f>
        <v>1293</v>
      </c>
      <c r="BF22" s="245">
        <f>BE22+(BE22*'2.  Scheme Wide'!$E$45)</f>
        <v>1293</v>
      </c>
      <c r="BG22" s="245">
        <f>BF22+(BF22*'2.  Scheme Wide'!$E$45)</f>
        <v>1293</v>
      </c>
      <c r="BH22" s="245">
        <f>BG22+(BG22*'2.  Scheme Wide'!$E$45)</f>
        <v>1293</v>
      </c>
      <c r="BI22" s="245">
        <f>BH22+(BH22*'2.  Scheme Wide'!$E$45)</f>
        <v>1293</v>
      </c>
      <c r="BJ22" s="245">
        <f>BI22+(BI22*'2.  Scheme Wide'!$E$45)</f>
        <v>1293</v>
      </c>
      <c r="BK22" s="245">
        <f>BJ22+(BJ22*'2.  Scheme Wide'!$E$45)</f>
        <v>1293</v>
      </c>
      <c r="BL22" s="245">
        <f>BK22+(BK22*'2.  Scheme Wide'!$E$45)</f>
        <v>1293</v>
      </c>
      <c r="BM22" s="245">
        <f>BL22+(BL22*'2.  Scheme Wide'!$E$45)</f>
        <v>1293</v>
      </c>
      <c r="BN22" s="245">
        <f>BM22+(BM22*'2.  Scheme Wide'!$E$45)</f>
        <v>1293</v>
      </c>
      <c r="BO22" s="245">
        <f>BN22+(BN22*'2.  Scheme Wide'!$E$45)</f>
        <v>1293</v>
      </c>
      <c r="BP22" s="245">
        <f>BO22+(BO22*'2.  Scheme Wide'!$E$45)</f>
        <v>1293</v>
      </c>
      <c r="BQ22" s="245">
        <f>BP22+(BP22*'2.  Scheme Wide'!$E$45)</f>
        <v>1293</v>
      </c>
      <c r="BR22" s="245">
        <f>BQ22+(BQ22*'2.  Scheme Wide'!$E$45)</f>
        <v>1293</v>
      </c>
      <c r="BS22" s="245">
        <f>BR22+(BR22*'2.  Scheme Wide'!$E$45)</f>
        <v>1293</v>
      </c>
      <c r="BT22" s="245">
        <f>BS22+(BS22*'2.  Scheme Wide'!$E$45)</f>
        <v>1293</v>
      </c>
      <c r="BU22" s="245">
        <f>BT22+(BT22*'2.  Scheme Wide'!$E$45)</f>
        <v>1293</v>
      </c>
      <c r="BV22" s="245">
        <f>BU22+(BU22*'2.  Scheme Wide'!$E$45)</f>
        <v>1293</v>
      </c>
      <c r="BW22" s="245">
        <f>BV22+(BV22*'2.  Scheme Wide'!$E$45)</f>
        <v>1293</v>
      </c>
      <c r="BX22" s="245">
        <f>BW22+(BW22*'2.  Scheme Wide'!$E$45)</f>
        <v>1293</v>
      </c>
      <c r="BY22" s="245">
        <f>BX22+(BX22*'2.  Scheme Wide'!$E$45)</f>
        <v>1293</v>
      </c>
      <c r="BZ22" s="245">
        <f>BY22+(BY22*'2.  Scheme Wide'!$E$45)</f>
        <v>1293</v>
      </c>
      <c r="CA22" s="245">
        <f>BZ22+(BZ22*'2.  Scheme Wide'!$E$45)</f>
        <v>1293</v>
      </c>
      <c r="CB22" s="245">
        <f>CA22+(CA22*'2.  Scheme Wide'!$E$45)</f>
        <v>1293</v>
      </c>
      <c r="CC22" s="245">
        <f>CB22+(CB22*'2.  Scheme Wide'!$E$45)</f>
        <v>1293</v>
      </c>
      <c r="CD22" s="245">
        <f>CC22+(CC22*'2.  Scheme Wide'!$E$45)</f>
        <v>1293</v>
      </c>
      <c r="CE22" s="245">
        <f>CD22+(CD22*'2.  Scheme Wide'!$E$45)</f>
        <v>1293</v>
      </c>
      <c r="CF22" s="245">
        <f>CE22+(CE22*'2.  Scheme Wide'!$E$45)</f>
        <v>1293</v>
      </c>
      <c r="CG22" s="245">
        <f>CF22+(CF22*'2.  Scheme Wide'!$E$45)</f>
        <v>1293</v>
      </c>
      <c r="CH22" s="245">
        <f>CG22+(CG22*'2.  Scheme Wide'!$E$45)</f>
        <v>1293</v>
      </c>
      <c r="CI22" s="245">
        <f>CH22+(CH22*'2.  Scheme Wide'!$E$45)</f>
        <v>1293</v>
      </c>
    </row>
    <row r="23" spans="2:87">
      <c r="B23" s="44" t="s">
        <v>177</v>
      </c>
      <c r="D23" s="23">
        <f>'3. Site Based'!K9</f>
        <v>0</v>
      </c>
      <c r="E23" s="245">
        <f t="shared" si="2"/>
        <v>0</v>
      </c>
      <c r="F23" s="245">
        <f t="shared" si="2"/>
        <v>0</v>
      </c>
      <c r="G23" s="245">
        <f t="shared" si="3"/>
        <v>0</v>
      </c>
      <c r="H23" s="245">
        <f>G23+(G23*'2.  Scheme Wide'!$E$45)</f>
        <v>0</v>
      </c>
      <c r="I23" s="245">
        <f>H23+(H23*'2.  Scheme Wide'!$E$45)</f>
        <v>0</v>
      </c>
      <c r="J23" s="245">
        <f>I23+(I23*'2.  Scheme Wide'!$E$45)</f>
        <v>0</v>
      </c>
      <c r="K23" s="245">
        <f>J23+(J23*'2.  Scheme Wide'!$E$45)</f>
        <v>0</v>
      </c>
      <c r="L23" s="245">
        <f>K23+(K23*'2.  Scheme Wide'!$E$45)</f>
        <v>0</v>
      </c>
      <c r="M23" s="245">
        <f>L23+(L23*'2.  Scheme Wide'!$E$45)</f>
        <v>0</v>
      </c>
      <c r="N23" s="245">
        <f>M23+(M23*'2.  Scheme Wide'!$E$45)</f>
        <v>0</v>
      </c>
      <c r="O23" s="245">
        <f>N23+(N23*'2.  Scheme Wide'!$E$45)</f>
        <v>0</v>
      </c>
      <c r="P23" s="245">
        <f>O23+(O23*'2.  Scheme Wide'!$E$45)</f>
        <v>0</v>
      </c>
      <c r="Q23" s="363">
        <f>P23+(P23*'2.  Scheme Wide'!$E$45)</f>
        <v>0</v>
      </c>
      <c r="R23" s="245">
        <f>Q23+(Q23*'2.  Scheme Wide'!$E$45)</f>
        <v>0</v>
      </c>
      <c r="S23" s="245">
        <f>R23+(R23*'2.  Scheme Wide'!$E$45)</f>
        <v>0</v>
      </c>
      <c r="T23" s="245">
        <f>S23+(S23*'2.  Scheme Wide'!$E$45)</f>
        <v>0</v>
      </c>
      <c r="U23" s="245">
        <f>T23+(T23*'2.  Scheme Wide'!$E$45)</f>
        <v>0</v>
      </c>
      <c r="V23" s="245">
        <f>U23+(U23*'2.  Scheme Wide'!$E$45)</f>
        <v>0</v>
      </c>
      <c r="W23" s="245">
        <f>V23+(V23*'2.  Scheme Wide'!$E$45)</f>
        <v>0</v>
      </c>
      <c r="X23" s="245">
        <f>W23+(W23*'2.  Scheme Wide'!$E$45)</f>
        <v>0</v>
      </c>
      <c r="Y23" s="245">
        <f>X23+(X23*'2.  Scheme Wide'!$E$45)</f>
        <v>0</v>
      </c>
      <c r="Z23" s="245">
        <f>Y23+(Y23*'2.  Scheme Wide'!$E$45)</f>
        <v>0</v>
      </c>
      <c r="AA23" s="245">
        <f>Z23+(Z23*'2.  Scheme Wide'!$E$45)</f>
        <v>0</v>
      </c>
      <c r="AB23" s="245">
        <f>AA23+(AA23*'2.  Scheme Wide'!$E$45)</f>
        <v>0</v>
      </c>
      <c r="AC23" s="245">
        <f>AB23+(AB23*'2.  Scheme Wide'!$E$45)</f>
        <v>0</v>
      </c>
      <c r="AD23" s="245">
        <f>AC23+(AC23*'2.  Scheme Wide'!$E$45)</f>
        <v>0</v>
      </c>
      <c r="AE23" s="245">
        <f>AD23+(AD23*'2.  Scheme Wide'!$E$45)</f>
        <v>0</v>
      </c>
      <c r="AF23" s="245">
        <f>AE23+(AE23*'2.  Scheme Wide'!$E$45)</f>
        <v>0</v>
      </c>
      <c r="AG23" s="245">
        <f>AF23+(AF23*'2.  Scheme Wide'!$E$45)</f>
        <v>0</v>
      </c>
      <c r="AH23" s="245">
        <f>AG23+(AG23*'2.  Scheme Wide'!$E$45)</f>
        <v>0</v>
      </c>
      <c r="AI23" s="245">
        <f>AH23+(AH23*'2.  Scheme Wide'!$E$45)</f>
        <v>0</v>
      </c>
      <c r="AJ23" s="245">
        <f>AI23+(AI23*'2.  Scheme Wide'!$E$45)</f>
        <v>0</v>
      </c>
      <c r="AK23" s="245">
        <f>AJ23+(AJ23*'2.  Scheme Wide'!$E$45)</f>
        <v>0</v>
      </c>
      <c r="AL23" s="245">
        <f>AK23+(AK23*'2.  Scheme Wide'!$E$45)</f>
        <v>0</v>
      </c>
      <c r="AM23" s="245">
        <f>AL23+(AL23*'2.  Scheme Wide'!$E$45)</f>
        <v>0</v>
      </c>
      <c r="AN23" s="245">
        <f>AM23+(AM23*'2.  Scheme Wide'!$E$45)</f>
        <v>0</v>
      </c>
      <c r="AO23" s="245">
        <f>AN23+(AN23*'2.  Scheme Wide'!$E$45)</f>
        <v>0</v>
      </c>
      <c r="AP23" s="245">
        <f>AO23+(AO23*'2.  Scheme Wide'!$E$45)</f>
        <v>0</v>
      </c>
      <c r="AQ23" s="245">
        <f>AP23+(AP23*'2.  Scheme Wide'!$E$45)</f>
        <v>0</v>
      </c>
      <c r="AR23" s="245">
        <f>AQ23+(AQ23*'2.  Scheme Wide'!$E$45)</f>
        <v>0</v>
      </c>
      <c r="AS23" s="245">
        <f>AR23+(AR23*'2.  Scheme Wide'!$E$45)</f>
        <v>0</v>
      </c>
      <c r="AT23" s="245">
        <f>AS23+(AS23*'2.  Scheme Wide'!$E$45)</f>
        <v>0</v>
      </c>
      <c r="AU23" s="245">
        <f>AT23+(AT23*'2.  Scheme Wide'!$E$45)</f>
        <v>0</v>
      </c>
      <c r="AV23" s="245">
        <f>AU23+(AU23*'2.  Scheme Wide'!$E$45)</f>
        <v>0</v>
      </c>
      <c r="AW23" s="245">
        <f>AV23+(AV23*'2.  Scheme Wide'!$E$45)</f>
        <v>0</v>
      </c>
      <c r="AX23" s="245">
        <f>AW23+(AW23*'2.  Scheme Wide'!$E$45)</f>
        <v>0</v>
      </c>
      <c r="AY23" s="245">
        <f>AX23+(AX23*'2.  Scheme Wide'!$E$45)</f>
        <v>0</v>
      </c>
      <c r="AZ23" s="245">
        <f>AY23+(AY23*'2.  Scheme Wide'!$E$45)</f>
        <v>0</v>
      </c>
      <c r="BA23" s="245">
        <f>AZ23+(AZ23*'2.  Scheme Wide'!$E$45)</f>
        <v>0</v>
      </c>
      <c r="BB23" s="245">
        <f>BA23+(BA23*'2.  Scheme Wide'!$E$45)</f>
        <v>0</v>
      </c>
      <c r="BC23" s="245">
        <f>BB23+(BB23*'2.  Scheme Wide'!$E$45)</f>
        <v>0</v>
      </c>
      <c r="BD23" s="245">
        <f>BC23+(BC23*'2.  Scheme Wide'!$E$45)</f>
        <v>0</v>
      </c>
      <c r="BE23" s="245">
        <f>BD23+(BD23*'2.  Scheme Wide'!$E$45)</f>
        <v>0</v>
      </c>
      <c r="BF23" s="245">
        <f>BE23+(BE23*'2.  Scheme Wide'!$E$45)</f>
        <v>0</v>
      </c>
      <c r="BG23" s="245">
        <f>BF23+(BF23*'2.  Scheme Wide'!$E$45)</f>
        <v>0</v>
      </c>
      <c r="BH23" s="245">
        <f>BG23+(BG23*'2.  Scheme Wide'!$E$45)</f>
        <v>0</v>
      </c>
      <c r="BI23" s="245">
        <f>BH23+(BH23*'2.  Scheme Wide'!$E$45)</f>
        <v>0</v>
      </c>
      <c r="BJ23" s="245">
        <f>BI23+(BI23*'2.  Scheme Wide'!$E$45)</f>
        <v>0</v>
      </c>
      <c r="BK23" s="245">
        <f>BJ23+(BJ23*'2.  Scheme Wide'!$E$45)</f>
        <v>0</v>
      </c>
      <c r="BL23" s="245">
        <f>BK23+(BK23*'2.  Scheme Wide'!$E$45)</f>
        <v>0</v>
      </c>
      <c r="BM23" s="245">
        <f>BL23+(BL23*'2.  Scheme Wide'!$E$45)</f>
        <v>0</v>
      </c>
      <c r="BN23" s="245">
        <f>BM23+(BM23*'2.  Scheme Wide'!$E$45)</f>
        <v>0</v>
      </c>
      <c r="BO23" s="245">
        <f>BN23+(BN23*'2.  Scheme Wide'!$E$45)</f>
        <v>0</v>
      </c>
      <c r="BP23" s="245">
        <f>BO23+(BO23*'2.  Scheme Wide'!$E$45)</f>
        <v>0</v>
      </c>
      <c r="BQ23" s="245">
        <f>BP23+(BP23*'2.  Scheme Wide'!$E$45)</f>
        <v>0</v>
      </c>
      <c r="BR23" s="245">
        <f>BQ23+(BQ23*'2.  Scheme Wide'!$E$45)</f>
        <v>0</v>
      </c>
      <c r="BS23" s="245">
        <f>BR23+(BR23*'2.  Scheme Wide'!$E$45)</f>
        <v>0</v>
      </c>
      <c r="BT23" s="245">
        <f>BS23+(BS23*'2.  Scheme Wide'!$E$45)</f>
        <v>0</v>
      </c>
      <c r="BU23" s="245">
        <f>BT23+(BT23*'2.  Scheme Wide'!$E$45)</f>
        <v>0</v>
      </c>
      <c r="BV23" s="245">
        <f>BU23+(BU23*'2.  Scheme Wide'!$E$45)</f>
        <v>0</v>
      </c>
      <c r="BW23" s="245">
        <f>BV23+(BV23*'2.  Scheme Wide'!$E$45)</f>
        <v>0</v>
      </c>
      <c r="BX23" s="245">
        <f>BW23+(BW23*'2.  Scheme Wide'!$E$45)</f>
        <v>0</v>
      </c>
      <c r="BY23" s="245">
        <f>BX23+(BX23*'2.  Scheme Wide'!$E$45)</f>
        <v>0</v>
      </c>
      <c r="BZ23" s="245">
        <f>BY23+(BY23*'2.  Scheme Wide'!$E$45)</f>
        <v>0</v>
      </c>
      <c r="CA23" s="245">
        <f>BZ23+(BZ23*'2.  Scheme Wide'!$E$45)</f>
        <v>0</v>
      </c>
      <c r="CB23" s="245">
        <f>CA23+(CA23*'2.  Scheme Wide'!$E$45)</f>
        <v>0</v>
      </c>
      <c r="CC23" s="245">
        <f>CB23+(CB23*'2.  Scheme Wide'!$E$45)</f>
        <v>0</v>
      </c>
      <c r="CD23" s="245">
        <f>CC23+(CC23*'2.  Scheme Wide'!$E$45)</f>
        <v>0</v>
      </c>
      <c r="CE23" s="245">
        <f>CD23+(CD23*'2.  Scheme Wide'!$E$45)</f>
        <v>0</v>
      </c>
      <c r="CF23" s="245">
        <f>CE23+(CE23*'2.  Scheme Wide'!$E$45)</f>
        <v>0</v>
      </c>
      <c r="CG23" s="245">
        <f>CF23+(CF23*'2.  Scheme Wide'!$E$45)</f>
        <v>0</v>
      </c>
      <c r="CH23" s="245">
        <f>CG23+(CG23*'2.  Scheme Wide'!$E$45)</f>
        <v>0</v>
      </c>
      <c r="CI23" s="245">
        <f>CH23+(CH23*'2.  Scheme Wide'!$E$45)</f>
        <v>0</v>
      </c>
    </row>
    <row r="24" spans="2:87">
      <c r="B24" s="44" t="s">
        <v>207</v>
      </c>
      <c r="D24" s="23">
        <f>'3. Site Based'!E28</f>
        <v>0</v>
      </c>
      <c r="E24" s="245">
        <f t="shared" si="2"/>
        <v>0</v>
      </c>
      <c r="F24" s="245">
        <f t="shared" si="2"/>
        <v>0</v>
      </c>
      <c r="G24" s="245">
        <f t="shared" si="3"/>
        <v>0</v>
      </c>
      <c r="H24" s="245">
        <f>G24+(G24*'2.  Scheme Wide'!$E$45)</f>
        <v>0</v>
      </c>
      <c r="I24" s="245">
        <f>H24+(H24*'2.  Scheme Wide'!$E$45)</f>
        <v>0</v>
      </c>
      <c r="J24" s="245">
        <f>I24+(I24*'2.  Scheme Wide'!$E$45)</f>
        <v>0</v>
      </c>
      <c r="K24" s="245">
        <f>J24+(J24*'2.  Scheme Wide'!$E$45)</f>
        <v>0</v>
      </c>
      <c r="L24" s="245">
        <f>K24+(K24*'2.  Scheme Wide'!$E$45)</f>
        <v>0</v>
      </c>
      <c r="M24" s="245">
        <f>L24+(L24*'2.  Scheme Wide'!$E$45)</f>
        <v>0</v>
      </c>
      <c r="N24" s="245">
        <f>M24+(M24*'2.  Scheme Wide'!$E$45)</f>
        <v>0</v>
      </c>
      <c r="O24" s="245">
        <f>N24+(N24*'2.  Scheme Wide'!$E$45)</f>
        <v>0</v>
      </c>
      <c r="P24" s="245">
        <f>O24+(O24*'2.  Scheme Wide'!$E$45)</f>
        <v>0</v>
      </c>
      <c r="Q24" s="363">
        <f>P24+(P24*'2.  Scheme Wide'!$E$45)</f>
        <v>0</v>
      </c>
      <c r="R24" s="245">
        <f>Q24+(Q24*'2.  Scheme Wide'!$E$45)</f>
        <v>0</v>
      </c>
      <c r="S24" s="245">
        <f>R24+(R24*'2.  Scheme Wide'!$E$45)</f>
        <v>0</v>
      </c>
      <c r="T24" s="245">
        <f>S24+(S24*'2.  Scheme Wide'!$E$45)</f>
        <v>0</v>
      </c>
      <c r="U24" s="245">
        <f>T24+(T24*'2.  Scheme Wide'!$E$45)</f>
        <v>0</v>
      </c>
      <c r="V24" s="245">
        <f>U24+(U24*'2.  Scheme Wide'!$E$45)</f>
        <v>0</v>
      </c>
      <c r="W24" s="245">
        <f>V24+(V24*'2.  Scheme Wide'!$E$45)</f>
        <v>0</v>
      </c>
      <c r="X24" s="245">
        <f>W24+(W24*'2.  Scheme Wide'!$E$45)</f>
        <v>0</v>
      </c>
      <c r="Y24" s="245">
        <f>X24+(X24*'2.  Scheme Wide'!$E$45)</f>
        <v>0</v>
      </c>
      <c r="Z24" s="245">
        <f>Y24+(Y24*'2.  Scheme Wide'!$E$45)</f>
        <v>0</v>
      </c>
      <c r="AA24" s="245">
        <f>Z24+(Z24*'2.  Scheme Wide'!$E$45)</f>
        <v>0</v>
      </c>
      <c r="AB24" s="245">
        <f>AA24+(AA24*'2.  Scheme Wide'!$E$45)</f>
        <v>0</v>
      </c>
      <c r="AC24" s="245">
        <f>AB24+(AB24*'2.  Scheme Wide'!$E$45)</f>
        <v>0</v>
      </c>
      <c r="AD24" s="245">
        <f>AC24+(AC24*'2.  Scheme Wide'!$E$45)</f>
        <v>0</v>
      </c>
      <c r="AE24" s="245">
        <f>AD24+(AD24*'2.  Scheme Wide'!$E$45)</f>
        <v>0</v>
      </c>
      <c r="AF24" s="245">
        <f>AE24+(AE24*'2.  Scheme Wide'!$E$45)</f>
        <v>0</v>
      </c>
      <c r="AG24" s="245">
        <f>AF24+(AF24*'2.  Scheme Wide'!$E$45)</f>
        <v>0</v>
      </c>
      <c r="AH24" s="245">
        <f>AG24+(AG24*'2.  Scheme Wide'!$E$45)</f>
        <v>0</v>
      </c>
      <c r="AI24" s="245">
        <f>AH24+(AH24*'2.  Scheme Wide'!$E$45)</f>
        <v>0</v>
      </c>
      <c r="AJ24" s="245">
        <f>AI24+(AI24*'2.  Scheme Wide'!$E$45)</f>
        <v>0</v>
      </c>
      <c r="AK24" s="245">
        <f>AJ24+(AJ24*'2.  Scheme Wide'!$E$45)</f>
        <v>0</v>
      </c>
      <c r="AL24" s="245">
        <f>AK24+(AK24*'2.  Scheme Wide'!$E$45)</f>
        <v>0</v>
      </c>
      <c r="AM24" s="245">
        <f>AL24+(AL24*'2.  Scheme Wide'!$E$45)</f>
        <v>0</v>
      </c>
      <c r="AN24" s="245">
        <f>AM24+(AM24*'2.  Scheme Wide'!$E$45)</f>
        <v>0</v>
      </c>
      <c r="AO24" s="245">
        <f>AN24+(AN24*'2.  Scheme Wide'!$E$45)</f>
        <v>0</v>
      </c>
      <c r="AP24" s="245">
        <f>AO24+(AO24*'2.  Scheme Wide'!$E$45)</f>
        <v>0</v>
      </c>
      <c r="AQ24" s="245">
        <f>AP24+(AP24*'2.  Scheme Wide'!$E$45)</f>
        <v>0</v>
      </c>
      <c r="AR24" s="245">
        <f>AQ24+(AQ24*'2.  Scheme Wide'!$E$45)</f>
        <v>0</v>
      </c>
      <c r="AS24" s="245">
        <f>AR24+(AR24*'2.  Scheme Wide'!$E$45)</f>
        <v>0</v>
      </c>
      <c r="AT24" s="245">
        <f>AS24+(AS24*'2.  Scheme Wide'!$E$45)</f>
        <v>0</v>
      </c>
      <c r="AU24" s="245">
        <f>AT24+(AT24*'2.  Scheme Wide'!$E$45)</f>
        <v>0</v>
      </c>
      <c r="AV24" s="245">
        <f>AU24+(AU24*'2.  Scheme Wide'!$E$45)</f>
        <v>0</v>
      </c>
      <c r="AW24" s="245">
        <f>AV24+(AV24*'2.  Scheme Wide'!$E$45)</f>
        <v>0</v>
      </c>
      <c r="AX24" s="245">
        <f>AW24+(AW24*'2.  Scheme Wide'!$E$45)</f>
        <v>0</v>
      </c>
      <c r="AY24" s="245">
        <f>AX24+(AX24*'2.  Scheme Wide'!$E$45)</f>
        <v>0</v>
      </c>
      <c r="AZ24" s="245">
        <f>AY24+(AY24*'2.  Scheme Wide'!$E$45)</f>
        <v>0</v>
      </c>
      <c r="BA24" s="245">
        <f>AZ24+(AZ24*'2.  Scheme Wide'!$E$45)</f>
        <v>0</v>
      </c>
      <c r="BB24" s="245">
        <f>BA24+(BA24*'2.  Scheme Wide'!$E$45)</f>
        <v>0</v>
      </c>
      <c r="BC24" s="245">
        <f>BB24+(BB24*'2.  Scheme Wide'!$E$45)</f>
        <v>0</v>
      </c>
      <c r="BD24" s="245">
        <f>BC24+(BC24*'2.  Scheme Wide'!$E$45)</f>
        <v>0</v>
      </c>
      <c r="BE24" s="245">
        <f>BD24+(BD24*'2.  Scheme Wide'!$E$45)</f>
        <v>0</v>
      </c>
      <c r="BF24" s="245">
        <f>BE24+(BE24*'2.  Scheme Wide'!$E$45)</f>
        <v>0</v>
      </c>
      <c r="BG24" s="245">
        <f>BF24+(BF24*'2.  Scheme Wide'!$E$45)</f>
        <v>0</v>
      </c>
      <c r="BH24" s="245">
        <f>BG24+(BG24*'2.  Scheme Wide'!$E$45)</f>
        <v>0</v>
      </c>
      <c r="BI24" s="245">
        <f>BH24+(BH24*'2.  Scheme Wide'!$E$45)</f>
        <v>0</v>
      </c>
      <c r="BJ24" s="245">
        <f>BI24+(BI24*'2.  Scheme Wide'!$E$45)</f>
        <v>0</v>
      </c>
      <c r="BK24" s="245">
        <f>BJ24+(BJ24*'2.  Scheme Wide'!$E$45)</f>
        <v>0</v>
      </c>
      <c r="BL24" s="245">
        <f>BK24+(BK24*'2.  Scheme Wide'!$E$45)</f>
        <v>0</v>
      </c>
      <c r="BM24" s="245">
        <f>BL24+(BL24*'2.  Scheme Wide'!$E$45)</f>
        <v>0</v>
      </c>
      <c r="BN24" s="245">
        <f>BM24+(BM24*'2.  Scheme Wide'!$E$45)</f>
        <v>0</v>
      </c>
      <c r="BO24" s="245">
        <f>BN24+(BN24*'2.  Scheme Wide'!$E$45)</f>
        <v>0</v>
      </c>
      <c r="BP24" s="245">
        <f>BO24+(BO24*'2.  Scheme Wide'!$E$45)</f>
        <v>0</v>
      </c>
      <c r="BQ24" s="245">
        <f>BP24+(BP24*'2.  Scheme Wide'!$E$45)</f>
        <v>0</v>
      </c>
      <c r="BR24" s="245">
        <f>BQ24+(BQ24*'2.  Scheme Wide'!$E$45)</f>
        <v>0</v>
      </c>
      <c r="BS24" s="245">
        <f>BR24+(BR24*'2.  Scheme Wide'!$E$45)</f>
        <v>0</v>
      </c>
      <c r="BT24" s="245">
        <f>BS24+(BS24*'2.  Scheme Wide'!$E$45)</f>
        <v>0</v>
      </c>
      <c r="BU24" s="245">
        <f>BT24+(BT24*'2.  Scheme Wide'!$E$45)</f>
        <v>0</v>
      </c>
      <c r="BV24" s="245">
        <f>BU24+(BU24*'2.  Scheme Wide'!$E$45)</f>
        <v>0</v>
      </c>
      <c r="BW24" s="245">
        <f>BV24+(BV24*'2.  Scheme Wide'!$E$45)</f>
        <v>0</v>
      </c>
      <c r="BX24" s="245">
        <f>BW24+(BW24*'2.  Scheme Wide'!$E$45)</f>
        <v>0</v>
      </c>
      <c r="BY24" s="245">
        <f>BX24+(BX24*'2.  Scheme Wide'!$E$45)</f>
        <v>0</v>
      </c>
      <c r="BZ24" s="245">
        <f>BY24+(BY24*'2.  Scheme Wide'!$E$45)</f>
        <v>0</v>
      </c>
      <c r="CA24" s="245">
        <f>BZ24+(BZ24*'2.  Scheme Wide'!$E$45)</f>
        <v>0</v>
      </c>
      <c r="CB24" s="245">
        <f>CA24+(CA24*'2.  Scheme Wide'!$E$45)</f>
        <v>0</v>
      </c>
      <c r="CC24" s="245">
        <f>CB24+(CB24*'2.  Scheme Wide'!$E$45)</f>
        <v>0</v>
      </c>
      <c r="CD24" s="245">
        <f>CC24+(CC24*'2.  Scheme Wide'!$E$45)</f>
        <v>0</v>
      </c>
      <c r="CE24" s="245">
        <f>CD24+(CD24*'2.  Scheme Wide'!$E$45)</f>
        <v>0</v>
      </c>
      <c r="CF24" s="245">
        <f>CE24+(CE24*'2.  Scheme Wide'!$E$45)</f>
        <v>0</v>
      </c>
      <c r="CG24" s="245">
        <f>CF24+(CF24*'2.  Scheme Wide'!$E$45)</f>
        <v>0</v>
      </c>
      <c r="CH24" s="245">
        <f>CG24+(CG24*'2.  Scheme Wide'!$E$45)</f>
        <v>0</v>
      </c>
      <c r="CI24" s="245">
        <f>CH24+(CH24*'2.  Scheme Wide'!$E$45)</f>
        <v>0</v>
      </c>
    </row>
    <row r="25" spans="2:87">
      <c r="B25" s="98" t="s">
        <v>208</v>
      </c>
      <c r="D25" s="23">
        <f>'3. Site Based'!F28</f>
        <v>804</v>
      </c>
      <c r="E25" s="245">
        <f t="shared" si="2"/>
        <v>804</v>
      </c>
      <c r="F25" s="245">
        <f t="shared" si="2"/>
        <v>804</v>
      </c>
      <c r="G25" s="245">
        <f t="shared" si="3"/>
        <v>804</v>
      </c>
      <c r="H25" s="245">
        <f>G25+(G25*'2.  Scheme Wide'!$E$45)</f>
        <v>804</v>
      </c>
      <c r="I25" s="245">
        <f>H25+(H25*'2.  Scheme Wide'!$E$45)</f>
        <v>804</v>
      </c>
      <c r="J25" s="245">
        <f>I25+(I25*'2.  Scheme Wide'!$E$45)</f>
        <v>804</v>
      </c>
      <c r="K25" s="245">
        <f>J25+(J25*'2.  Scheme Wide'!$E$45)</f>
        <v>804</v>
      </c>
      <c r="L25" s="245">
        <f>K25+(K25*'2.  Scheme Wide'!$E$45)</f>
        <v>804</v>
      </c>
      <c r="M25" s="245">
        <f>L25+(L25*'2.  Scheme Wide'!$E$45)</f>
        <v>804</v>
      </c>
      <c r="N25" s="245">
        <f>M25+(M25*'2.  Scheme Wide'!$E$45)</f>
        <v>804</v>
      </c>
      <c r="O25" s="245">
        <f>N25+(N25*'2.  Scheme Wide'!$E$45)</f>
        <v>804</v>
      </c>
      <c r="P25" s="245">
        <f>O25+(O25*'2.  Scheme Wide'!$E$45)</f>
        <v>804</v>
      </c>
      <c r="Q25" s="363">
        <f>P25+(P25*'2.  Scheme Wide'!$E$45)</f>
        <v>804</v>
      </c>
      <c r="R25" s="245">
        <f>Q25+(Q25*'2.  Scheme Wide'!$E$45)</f>
        <v>804</v>
      </c>
      <c r="S25" s="245">
        <f>R25+(R25*'2.  Scheme Wide'!$E$45)</f>
        <v>804</v>
      </c>
      <c r="T25" s="245">
        <f>S25+(S25*'2.  Scheme Wide'!$E$45)</f>
        <v>804</v>
      </c>
      <c r="U25" s="245">
        <f>T25+(T25*'2.  Scheme Wide'!$E$45)</f>
        <v>804</v>
      </c>
      <c r="V25" s="245">
        <f>U25+(U25*'2.  Scheme Wide'!$E$45)</f>
        <v>804</v>
      </c>
      <c r="W25" s="245">
        <f>V25+(V25*'2.  Scheme Wide'!$E$45)</f>
        <v>804</v>
      </c>
      <c r="X25" s="245">
        <f>W25+(W25*'2.  Scheme Wide'!$E$45)</f>
        <v>804</v>
      </c>
      <c r="Y25" s="245">
        <f>X25+(X25*'2.  Scheme Wide'!$E$45)</f>
        <v>804</v>
      </c>
      <c r="Z25" s="245">
        <f>Y25+(Y25*'2.  Scheme Wide'!$E$45)</f>
        <v>804</v>
      </c>
      <c r="AA25" s="245">
        <f>Z25+(Z25*'2.  Scheme Wide'!$E$45)</f>
        <v>804</v>
      </c>
      <c r="AB25" s="245">
        <f>AA25+(AA25*'2.  Scheme Wide'!$E$45)</f>
        <v>804</v>
      </c>
      <c r="AC25" s="245">
        <f>AB25+(AB25*'2.  Scheme Wide'!$E$45)</f>
        <v>804</v>
      </c>
      <c r="AD25" s="245">
        <f>AC25+(AC25*'2.  Scheme Wide'!$E$45)</f>
        <v>804</v>
      </c>
      <c r="AE25" s="245">
        <f>AD25+(AD25*'2.  Scheme Wide'!$E$45)</f>
        <v>804</v>
      </c>
      <c r="AF25" s="245">
        <f>AE25+(AE25*'2.  Scheme Wide'!$E$45)</f>
        <v>804</v>
      </c>
      <c r="AG25" s="245">
        <f>AF25+(AF25*'2.  Scheme Wide'!$E$45)</f>
        <v>804</v>
      </c>
      <c r="AH25" s="245">
        <f>AG25+(AG25*'2.  Scheme Wide'!$E$45)</f>
        <v>804</v>
      </c>
      <c r="AI25" s="245">
        <f>AH25+(AH25*'2.  Scheme Wide'!$E$45)</f>
        <v>804</v>
      </c>
      <c r="AJ25" s="245">
        <f>AI25+(AI25*'2.  Scheme Wide'!$E$45)</f>
        <v>804</v>
      </c>
      <c r="AK25" s="245">
        <f>AJ25+(AJ25*'2.  Scheme Wide'!$E$45)</f>
        <v>804</v>
      </c>
      <c r="AL25" s="245">
        <f>AK25+(AK25*'2.  Scheme Wide'!$E$45)</f>
        <v>804</v>
      </c>
      <c r="AM25" s="245">
        <f>AL25+(AL25*'2.  Scheme Wide'!$E$45)</f>
        <v>804</v>
      </c>
      <c r="AN25" s="245">
        <f>AM25+(AM25*'2.  Scheme Wide'!$E$45)</f>
        <v>804</v>
      </c>
      <c r="AO25" s="245">
        <f>AN25+(AN25*'2.  Scheme Wide'!$E$45)</f>
        <v>804</v>
      </c>
      <c r="AP25" s="245">
        <f>AO25+(AO25*'2.  Scheme Wide'!$E$45)</f>
        <v>804</v>
      </c>
      <c r="AQ25" s="245">
        <f>AP25+(AP25*'2.  Scheme Wide'!$E$45)</f>
        <v>804</v>
      </c>
      <c r="AR25" s="245">
        <f>AQ25+(AQ25*'2.  Scheme Wide'!$E$45)</f>
        <v>804</v>
      </c>
      <c r="AS25" s="245">
        <f>AR25+(AR25*'2.  Scheme Wide'!$E$45)</f>
        <v>804</v>
      </c>
      <c r="AT25" s="245">
        <f>AS25+(AS25*'2.  Scheme Wide'!$E$45)</f>
        <v>804</v>
      </c>
      <c r="AU25" s="245">
        <f>AT25+(AT25*'2.  Scheme Wide'!$E$45)</f>
        <v>804</v>
      </c>
      <c r="AV25" s="245">
        <f>AU25+(AU25*'2.  Scheme Wide'!$E$45)</f>
        <v>804</v>
      </c>
      <c r="AW25" s="245">
        <f>AV25+(AV25*'2.  Scheme Wide'!$E$45)</f>
        <v>804</v>
      </c>
      <c r="AX25" s="245">
        <f>AW25+(AW25*'2.  Scheme Wide'!$E$45)</f>
        <v>804</v>
      </c>
      <c r="AY25" s="245">
        <f>AX25+(AX25*'2.  Scheme Wide'!$E$45)</f>
        <v>804</v>
      </c>
      <c r="AZ25" s="245">
        <f>AY25+(AY25*'2.  Scheme Wide'!$E$45)</f>
        <v>804</v>
      </c>
      <c r="BA25" s="245">
        <f>AZ25+(AZ25*'2.  Scheme Wide'!$E$45)</f>
        <v>804</v>
      </c>
      <c r="BB25" s="245">
        <f>BA25+(BA25*'2.  Scheme Wide'!$E$45)</f>
        <v>804</v>
      </c>
      <c r="BC25" s="245">
        <f>BB25+(BB25*'2.  Scheme Wide'!$E$45)</f>
        <v>804</v>
      </c>
      <c r="BD25" s="245">
        <f>BC25+(BC25*'2.  Scheme Wide'!$E$45)</f>
        <v>804</v>
      </c>
      <c r="BE25" s="245">
        <f>BD25+(BD25*'2.  Scheme Wide'!$E$45)</f>
        <v>804</v>
      </c>
      <c r="BF25" s="245">
        <f>BE25+(BE25*'2.  Scheme Wide'!$E$45)</f>
        <v>804</v>
      </c>
      <c r="BG25" s="245">
        <f>BF25+(BF25*'2.  Scheme Wide'!$E$45)</f>
        <v>804</v>
      </c>
      <c r="BH25" s="245">
        <f>BG25+(BG25*'2.  Scheme Wide'!$E$45)</f>
        <v>804</v>
      </c>
      <c r="BI25" s="245">
        <f>BH25+(BH25*'2.  Scheme Wide'!$E$45)</f>
        <v>804</v>
      </c>
      <c r="BJ25" s="245">
        <f>BI25+(BI25*'2.  Scheme Wide'!$E$45)</f>
        <v>804</v>
      </c>
      <c r="BK25" s="245">
        <f>BJ25+(BJ25*'2.  Scheme Wide'!$E$45)</f>
        <v>804</v>
      </c>
      <c r="BL25" s="245">
        <f>BK25+(BK25*'2.  Scheme Wide'!$E$45)</f>
        <v>804</v>
      </c>
      <c r="BM25" s="245">
        <f>BL25+(BL25*'2.  Scheme Wide'!$E$45)</f>
        <v>804</v>
      </c>
      <c r="BN25" s="245">
        <f>BM25+(BM25*'2.  Scheme Wide'!$E$45)</f>
        <v>804</v>
      </c>
      <c r="BO25" s="245">
        <f>BN25+(BN25*'2.  Scheme Wide'!$E$45)</f>
        <v>804</v>
      </c>
      <c r="BP25" s="245">
        <f>BO25+(BO25*'2.  Scheme Wide'!$E$45)</f>
        <v>804</v>
      </c>
      <c r="BQ25" s="245">
        <f>BP25+(BP25*'2.  Scheme Wide'!$E$45)</f>
        <v>804</v>
      </c>
      <c r="BR25" s="245">
        <f>BQ25+(BQ25*'2.  Scheme Wide'!$E$45)</f>
        <v>804</v>
      </c>
      <c r="BS25" s="245">
        <f>BR25+(BR25*'2.  Scheme Wide'!$E$45)</f>
        <v>804</v>
      </c>
      <c r="BT25" s="245">
        <f>BS25+(BS25*'2.  Scheme Wide'!$E$45)</f>
        <v>804</v>
      </c>
      <c r="BU25" s="245">
        <f>BT25+(BT25*'2.  Scheme Wide'!$E$45)</f>
        <v>804</v>
      </c>
      <c r="BV25" s="245">
        <f>BU25+(BU25*'2.  Scheme Wide'!$E$45)</f>
        <v>804</v>
      </c>
      <c r="BW25" s="245">
        <f>BV25+(BV25*'2.  Scheme Wide'!$E$45)</f>
        <v>804</v>
      </c>
      <c r="BX25" s="245">
        <f>BW25+(BW25*'2.  Scheme Wide'!$E$45)</f>
        <v>804</v>
      </c>
      <c r="BY25" s="245">
        <f>BX25+(BX25*'2.  Scheme Wide'!$E$45)</f>
        <v>804</v>
      </c>
      <c r="BZ25" s="245">
        <f>BY25+(BY25*'2.  Scheme Wide'!$E$45)</f>
        <v>804</v>
      </c>
      <c r="CA25" s="245">
        <f>BZ25+(BZ25*'2.  Scheme Wide'!$E$45)</f>
        <v>804</v>
      </c>
      <c r="CB25" s="245">
        <f>CA25+(CA25*'2.  Scheme Wide'!$E$45)</f>
        <v>804</v>
      </c>
      <c r="CC25" s="245">
        <f>CB25+(CB25*'2.  Scheme Wide'!$E$45)</f>
        <v>804</v>
      </c>
      <c r="CD25" s="245">
        <f>CC25+(CC25*'2.  Scheme Wide'!$E$45)</f>
        <v>804</v>
      </c>
      <c r="CE25" s="245">
        <f>CD25+(CD25*'2.  Scheme Wide'!$E$45)</f>
        <v>804</v>
      </c>
      <c r="CF25" s="245">
        <f>CE25+(CE25*'2.  Scheme Wide'!$E$45)</f>
        <v>804</v>
      </c>
      <c r="CG25" s="245">
        <f>CF25+(CF25*'2.  Scheme Wide'!$E$45)</f>
        <v>804</v>
      </c>
      <c r="CH25" s="245">
        <f>CG25+(CG25*'2.  Scheme Wide'!$E$45)</f>
        <v>804</v>
      </c>
      <c r="CI25" s="245">
        <f>CH25+(CH25*'2.  Scheme Wide'!$E$45)</f>
        <v>804</v>
      </c>
    </row>
    <row r="26" spans="2:87">
      <c r="B26" s="44" t="s">
        <v>51</v>
      </c>
      <c r="D26" s="23">
        <f>'3. Site Based'!G28</f>
        <v>759</v>
      </c>
      <c r="E26" s="245">
        <f t="shared" si="2"/>
        <v>759</v>
      </c>
      <c r="F26" s="245">
        <f t="shared" si="2"/>
        <v>759</v>
      </c>
      <c r="G26" s="245">
        <f t="shared" si="3"/>
        <v>759</v>
      </c>
      <c r="H26" s="245">
        <f>G26+(G26*'2.  Scheme Wide'!$E$45)</f>
        <v>759</v>
      </c>
      <c r="I26" s="245">
        <f>H26+(H26*'2.  Scheme Wide'!$E$45)</f>
        <v>759</v>
      </c>
      <c r="J26" s="245">
        <f>I26+(I26*'2.  Scheme Wide'!$E$45)</f>
        <v>759</v>
      </c>
      <c r="K26" s="245">
        <f>J26+(J26*'2.  Scheme Wide'!$E$45)</f>
        <v>759</v>
      </c>
      <c r="L26" s="245">
        <f>K26+(K26*'2.  Scheme Wide'!$E$45)</f>
        <v>759</v>
      </c>
      <c r="M26" s="245">
        <f>L26+(L26*'2.  Scheme Wide'!$E$45)</f>
        <v>759</v>
      </c>
      <c r="N26" s="245">
        <f>M26+(M26*'2.  Scheme Wide'!$E$45)</f>
        <v>759</v>
      </c>
      <c r="O26" s="245">
        <f>N26+(N26*'2.  Scheme Wide'!$E$45)</f>
        <v>759</v>
      </c>
      <c r="P26" s="245">
        <f>O26+(O26*'2.  Scheme Wide'!$E$45)</f>
        <v>759</v>
      </c>
      <c r="Q26" s="363">
        <f>P26+(P26*'2.  Scheme Wide'!$E$45)</f>
        <v>759</v>
      </c>
      <c r="R26" s="245">
        <f>Q26+(Q26*'2.  Scheme Wide'!$E$45)</f>
        <v>759</v>
      </c>
      <c r="S26" s="245">
        <f>R26+(R26*'2.  Scheme Wide'!$E$45)</f>
        <v>759</v>
      </c>
      <c r="T26" s="245">
        <f>S26+(S26*'2.  Scheme Wide'!$E$45)</f>
        <v>759</v>
      </c>
      <c r="U26" s="245">
        <f>T26+(T26*'2.  Scheme Wide'!$E$45)</f>
        <v>759</v>
      </c>
      <c r="V26" s="245">
        <f>U26+(U26*'2.  Scheme Wide'!$E$45)</f>
        <v>759</v>
      </c>
      <c r="W26" s="245">
        <f>V26+(V26*'2.  Scheme Wide'!$E$45)</f>
        <v>759</v>
      </c>
      <c r="X26" s="245">
        <f>W26+(W26*'2.  Scheme Wide'!$E$45)</f>
        <v>759</v>
      </c>
      <c r="Y26" s="245">
        <f>X26+(X26*'2.  Scheme Wide'!$E$45)</f>
        <v>759</v>
      </c>
      <c r="Z26" s="245">
        <f>Y26+(Y26*'2.  Scheme Wide'!$E$45)</f>
        <v>759</v>
      </c>
      <c r="AA26" s="245">
        <f>Z26+(Z26*'2.  Scheme Wide'!$E$45)</f>
        <v>759</v>
      </c>
      <c r="AB26" s="245">
        <f>AA26+(AA26*'2.  Scheme Wide'!$E$45)</f>
        <v>759</v>
      </c>
      <c r="AC26" s="245">
        <f>AB26+(AB26*'2.  Scheme Wide'!$E$45)</f>
        <v>759</v>
      </c>
      <c r="AD26" s="245">
        <f>AC26+(AC26*'2.  Scheme Wide'!$E$45)</f>
        <v>759</v>
      </c>
      <c r="AE26" s="245">
        <f>AD26+(AD26*'2.  Scheme Wide'!$E$45)</f>
        <v>759</v>
      </c>
      <c r="AF26" s="245">
        <f>AE26+(AE26*'2.  Scheme Wide'!$E$45)</f>
        <v>759</v>
      </c>
      <c r="AG26" s="245">
        <f>AF26+(AF26*'2.  Scheme Wide'!$E$45)</f>
        <v>759</v>
      </c>
      <c r="AH26" s="245">
        <f>AG26+(AG26*'2.  Scheme Wide'!$E$45)</f>
        <v>759</v>
      </c>
      <c r="AI26" s="245">
        <f>AH26+(AH26*'2.  Scheme Wide'!$E$45)</f>
        <v>759</v>
      </c>
      <c r="AJ26" s="245">
        <f>AI26+(AI26*'2.  Scheme Wide'!$E$45)</f>
        <v>759</v>
      </c>
      <c r="AK26" s="245">
        <f>AJ26+(AJ26*'2.  Scheme Wide'!$E$45)</f>
        <v>759</v>
      </c>
      <c r="AL26" s="245">
        <f>AK26+(AK26*'2.  Scheme Wide'!$E$45)</f>
        <v>759</v>
      </c>
      <c r="AM26" s="245">
        <f>AL26+(AL26*'2.  Scheme Wide'!$E$45)</f>
        <v>759</v>
      </c>
      <c r="AN26" s="245">
        <f>AM26+(AM26*'2.  Scheme Wide'!$E$45)</f>
        <v>759</v>
      </c>
      <c r="AO26" s="245">
        <f>AN26+(AN26*'2.  Scheme Wide'!$E$45)</f>
        <v>759</v>
      </c>
      <c r="AP26" s="245">
        <f>AO26+(AO26*'2.  Scheme Wide'!$E$45)</f>
        <v>759</v>
      </c>
      <c r="AQ26" s="245">
        <f>AP26+(AP26*'2.  Scheme Wide'!$E$45)</f>
        <v>759</v>
      </c>
      <c r="AR26" s="245">
        <f>AQ26+(AQ26*'2.  Scheme Wide'!$E$45)</f>
        <v>759</v>
      </c>
      <c r="AS26" s="245">
        <f>AR26+(AR26*'2.  Scheme Wide'!$E$45)</f>
        <v>759</v>
      </c>
      <c r="AT26" s="245">
        <f>AS26+(AS26*'2.  Scheme Wide'!$E$45)</f>
        <v>759</v>
      </c>
      <c r="AU26" s="245">
        <f>AT26+(AT26*'2.  Scheme Wide'!$E$45)</f>
        <v>759</v>
      </c>
      <c r="AV26" s="245">
        <f>AU26+(AU26*'2.  Scheme Wide'!$E$45)</f>
        <v>759</v>
      </c>
      <c r="AW26" s="245">
        <f>AV26+(AV26*'2.  Scheme Wide'!$E$45)</f>
        <v>759</v>
      </c>
      <c r="AX26" s="245">
        <f>AW26+(AW26*'2.  Scheme Wide'!$E$45)</f>
        <v>759</v>
      </c>
      <c r="AY26" s="245">
        <f>AX26+(AX26*'2.  Scheme Wide'!$E$45)</f>
        <v>759</v>
      </c>
      <c r="AZ26" s="245">
        <f>AY26+(AY26*'2.  Scheme Wide'!$E$45)</f>
        <v>759</v>
      </c>
      <c r="BA26" s="245">
        <f>AZ26+(AZ26*'2.  Scheme Wide'!$E$45)</f>
        <v>759</v>
      </c>
      <c r="BB26" s="245">
        <f>BA26+(BA26*'2.  Scheme Wide'!$E$45)</f>
        <v>759</v>
      </c>
      <c r="BC26" s="245">
        <f>BB26+(BB26*'2.  Scheme Wide'!$E$45)</f>
        <v>759</v>
      </c>
      <c r="BD26" s="245">
        <f>BC26+(BC26*'2.  Scheme Wide'!$E$45)</f>
        <v>759</v>
      </c>
      <c r="BE26" s="245">
        <f>BD26+(BD26*'2.  Scheme Wide'!$E$45)</f>
        <v>759</v>
      </c>
      <c r="BF26" s="245">
        <f>BE26+(BE26*'2.  Scheme Wide'!$E$45)</f>
        <v>759</v>
      </c>
      <c r="BG26" s="245">
        <f>BF26+(BF26*'2.  Scheme Wide'!$E$45)</f>
        <v>759</v>
      </c>
      <c r="BH26" s="245">
        <f>BG26+(BG26*'2.  Scheme Wide'!$E$45)</f>
        <v>759</v>
      </c>
      <c r="BI26" s="245">
        <f>BH26+(BH26*'2.  Scheme Wide'!$E$45)</f>
        <v>759</v>
      </c>
      <c r="BJ26" s="245">
        <f>BI26+(BI26*'2.  Scheme Wide'!$E$45)</f>
        <v>759</v>
      </c>
      <c r="BK26" s="245">
        <f>BJ26+(BJ26*'2.  Scheme Wide'!$E$45)</f>
        <v>759</v>
      </c>
      <c r="BL26" s="245">
        <f>BK26+(BK26*'2.  Scheme Wide'!$E$45)</f>
        <v>759</v>
      </c>
      <c r="BM26" s="245">
        <f>BL26+(BL26*'2.  Scheme Wide'!$E$45)</f>
        <v>759</v>
      </c>
      <c r="BN26" s="245">
        <f>BM26+(BM26*'2.  Scheme Wide'!$E$45)</f>
        <v>759</v>
      </c>
      <c r="BO26" s="245">
        <f>BN26+(BN26*'2.  Scheme Wide'!$E$45)</f>
        <v>759</v>
      </c>
      <c r="BP26" s="245">
        <f>BO26+(BO26*'2.  Scheme Wide'!$E$45)</f>
        <v>759</v>
      </c>
      <c r="BQ26" s="245">
        <f>BP26+(BP26*'2.  Scheme Wide'!$E$45)</f>
        <v>759</v>
      </c>
      <c r="BR26" s="245">
        <f>BQ26+(BQ26*'2.  Scheme Wide'!$E$45)</f>
        <v>759</v>
      </c>
      <c r="BS26" s="245">
        <f>BR26+(BR26*'2.  Scheme Wide'!$E$45)</f>
        <v>759</v>
      </c>
      <c r="BT26" s="245">
        <f>BS26+(BS26*'2.  Scheme Wide'!$E$45)</f>
        <v>759</v>
      </c>
      <c r="BU26" s="245">
        <f>BT26+(BT26*'2.  Scheme Wide'!$E$45)</f>
        <v>759</v>
      </c>
      <c r="BV26" s="245">
        <f>BU26+(BU26*'2.  Scheme Wide'!$E$45)</f>
        <v>759</v>
      </c>
      <c r="BW26" s="245">
        <f>BV26+(BV26*'2.  Scheme Wide'!$E$45)</f>
        <v>759</v>
      </c>
      <c r="BX26" s="245">
        <f>BW26+(BW26*'2.  Scheme Wide'!$E$45)</f>
        <v>759</v>
      </c>
      <c r="BY26" s="245">
        <f>BX26+(BX26*'2.  Scheme Wide'!$E$45)</f>
        <v>759</v>
      </c>
      <c r="BZ26" s="245">
        <f>BY26+(BY26*'2.  Scheme Wide'!$E$45)</f>
        <v>759</v>
      </c>
      <c r="CA26" s="245">
        <f>BZ26+(BZ26*'2.  Scheme Wide'!$E$45)</f>
        <v>759</v>
      </c>
      <c r="CB26" s="245">
        <f>CA26+(CA26*'2.  Scheme Wide'!$E$45)</f>
        <v>759</v>
      </c>
      <c r="CC26" s="245">
        <f>CB26+(CB26*'2.  Scheme Wide'!$E$45)</f>
        <v>759</v>
      </c>
      <c r="CD26" s="245">
        <f>CC26+(CC26*'2.  Scheme Wide'!$E$45)</f>
        <v>759</v>
      </c>
      <c r="CE26" s="245">
        <f>CD26+(CD26*'2.  Scheme Wide'!$E$45)</f>
        <v>759</v>
      </c>
      <c r="CF26" s="245">
        <f>CE26+(CE26*'2.  Scheme Wide'!$E$45)</f>
        <v>759</v>
      </c>
      <c r="CG26" s="245">
        <f>CF26+(CF26*'2.  Scheme Wide'!$E$45)</f>
        <v>759</v>
      </c>
      <c r="CH26" s="245">
        <f>CG26+(CG26*'2.  Scheme Wide'!$E$45)</f>
        <v>759</v>
      </c>
      <c r="CI26" s="245">
        <f>CH26+(CH26*'2.  Scheme Wide'!$E$45)</f>
        <v>759</v>
      </c>
    </row>
    <row r="29" spans="2:87" ht="15.75">
      <c r="B29" s="52" t="s">
        <v>189</v>
      </c>
      <c r="D29" s="218" t="s">
        <v>179</v>
      </c>
      <c r="E29" s="219" t="s">
        <v>180</v>
      </c>
      <c r="F29" s="219" t="s">
        <v>181</v>
      </c>
      <c r="G29" s="219" t="s">
        <v>182</v>
      </c>
      <c r="H29" s="219" t="s">
        <v>183</v>
      </c>
      <c r="I29" s="219" t="s">
        <v>184</v>
      </c>
      <c r="J29" s="219" t="s">
        <v>235</v>
      </c>
      <c r="K29" s="219" t="s">
        <v>236</v>
      </c>
      <c r="L29" s="219" t="s">
        <v>608</v>
      </c>
    </row>
    <row r="30" spans="2:87">
      <c r="B30" s="14" t="s">
        <v>79</v>
      </c>
      <c r="D30" s="90">
        <v>0.15</v>
      </c>
      <c r="E30" s="90">
        <f>'3. Site Based'!F11</f>
        <v>0.15</v>
      </c>
      <c r="F30" s="90">
        <f>'3. Site Based'!G11</f>
        <v>0.15</v>
      </c>
      <c r="G30" s="90">
        <v>0.06</v>
      </c>
      <c r="H30" s="90">
        <v>0.06</v>
      </c>
      <c r="I30" s="90">
        <v>0.06</v>
      </c>
      <c r="J30" s="90">
        <f>'3. Site Based'!E30</f>
        <v>0.17499999999999999</v>
      </c>
      <c r="K30" s="90">
        <f>'3. Site Based'!F30</f>
        <v>0.17499999999999999</v>
      </c>
      <c r="L30" s="90">
        <f>'3. Site Based'!G30</f>
        <v>0.17499999999999999</v>
      </c>
    </row>
    <row r="31" spans="2:87">
      <c r="B31" s="14" t="s">
        <v>80</v>
      </c>
      <c r="D31" s="90">
        <f>'3. Site Based'!E12</f>
        <v>0.01</v>
      </c>
      <c r="E31" s="90">
        <f>'3. Site Based'!F12</f>
        <v>0.01</v>
      </c>
      <c r="F31" s="90">
        <f>'3. Site Based'!G12</f>
        <v>0.01</v>
      </c>
      <c r="G31" s="90">
        <f>'3. Site Based'!I12</f>
        <v>0</v>
      </c>
      <c r="H31" s="90">
        <f>'3. Site Based'!J12</f>
        <v>0</v>
      </c>
      <c r="I31" s="90">
        <f>'3. Site Based'!K12</f>
        <v>0</v>
      </c>
      <c r="J31" s="90">
        <f>'3. Site Based'!E31</f>
        <v>0.01</v>
      </c>
      <c r="K31" s="90">
        <f>'3. Site Based'!F31</f>
        <v>0.01</v>
      </c>
      <c r="L31" s="90">
        <f>'3. Site Based'!G31</f>
        <v>0.01</v>
      </c>
    </row>
    <row r="32" spans="2:87">
      <c r="B32" s="14" t="s">
        <v>81</v>
      </c>
      <c r="D32" s="90">
        <f>'3. Site Based'!E13</f>
        <v>5.0000000000000001E-3</v>
      </c>
      <c r="E32" s="90">
        <f>'3. Site Based'!F13</f>
        <v>5.0000000000000001E-3</v>
      </c>
      <c r="F32" s="90">
        <f>'3. Site Based'!G13</f>
        <v>5.0000000000000001E-3</v>
      </c>
      <c r="G32" s="90">
        <f>'3. Site Based'!I13</f>
        <v>5.0000000000000001E-3</v>
      </c>
      <c r="H32" s="90">
        <f>'3. Site Based'!J13</f>
        <v>5.0000000000000001E-3</v>
      </c>
      <c r="I32" s="90">
        <f>'3. Site Based'!K13</f>
        <v>0</v>
      </c>
      <c r="J32" s="90">
        <f>'3. Site Based'!E32</f>
        <v>5.0000000000000001E-3</v>
      </c>
      <c r="K32" s="90">
        <f>'3. Site Based'!F32</f>
        <v>5.0000000000000001E-3</v>
      </c>
      <c r="L32" s="90">
        <f>'3. Site Based'!G32</f>
        <v>5.0000000000000001E-3</v>
      </c>
    </row>
    <row r="33" spans="2:89">
      <c r="B33" s="14" t="s">
        <v>82</v>
      </c>
      <c r="D33" s="90">
        <f>'3. Site Based'!E14</f>
        <v>0.01</v>
      </c>
      <c r="E33" s="90">
        <f>'3. Site Based'!F14</f>
        <v>0.01</v>
      </c>
      <c r="F33" s="90">
        <f>'3. Site Based'!G14</f>
        <v>0.01</v>
      </c>
      <c r="G33" s="90">
        <f>'3. Site Based'!I14</f>
        <v>0</v>
      </c>
      <c r="H33" s="90">
        <f>'3. Site Based'!J14</f>
        <v>0</v>
      </c>
      <c r="I33" s="90">
        <f>'3. Site Based'!K14</f>
        <v>0</v>
      </c>
      <c r="J33" s="90">
        <f>'3. Site Based'!E33</f>
        <v>0.02</v>
      </c>
      <c r="K33" s="90">
        <f>'3. Site Based'!F33</f>
        <v>0.02</v>
      </c>
      <c r="L33" s="90">
        <f>'3. Site Based'!G33</f>
        <v>0.02</v>
      </c>
    </row>
    <row r="34" spans="2:89">
      <c r="B34" s="220" t="s">
        <v>95</v>
      </c>
      <c r="D34" s="246">
        <f>SUM(D30:D33)</f>
        <v>0.17500000000000002</v>
      </c>
      <c r="E34" s="246">
        <f t="shared" ref="E34:L34" si="4">SUM(E30:E33)</f>
        <v>0.17500000000000002</v>
      </c>
      <c r="F34" s="246">
        <f t="shared" si="4"/>
        <v>0.17500000000000002</v>
      </c>
      <c r="G34" s="326">
        <f t="shared" si="4"/>
        <v>6.5000000000000002E-2</v>
      </c>
      <c r="H34" s="246">
        <f t="shared" si="4"/>
        <v>6.5000000000000002E-2</v>
      </c>
      <c r="I34" s="246">
        <f t="shared" si="4"/>
        <v>0.06</v>
      </c>
      <c r="J34" s="246">
        <f t="shared" si="4"/>
        <v>0.21</v>
      </c>
      <c r="K34" s="326">
        <f t="shared" si="4"/>
        <v>0.21</v>
      </c>
      <c r="L34" s="246">
        <f t="shared" si="4"/>
        <v>0.21</v>
      </c>
    </row>
    <row r="35" spans="2:89">
      <c r="D35" s="217"/>
      <c r="E35" s="217"/>
      <c r="F35" s="217"/>
      <c r="G35" s="217"/>
      <c r="H35" s="217"/>
      <c r="I35" s="217"/>
      <c r="J35" s="217"/>
      <c r="K35" s="217"/>
      <c r="L35" s="217"/>
    </row>
    <row r="36" spans="2:89" ht="15.75">
      <c r="B36" s="52" t="s">
        <v>190</v>
      </c>
      <c r="D36" s="221" t="s">
        <v>179</v>
      </c>
      <c r="E36" s="222" t="s">
        <v>180</v>
      </c>
      <c r="F36" s="222" t="s">
        <v>181</v>
      </c>
      <c r="G36" s="222" t="s">
        <v>182</v>
      </c>
      <c r="H36" s="222" t="s">
        <v>183</v>
      </c>
      <c r="I36" s="222" t="s">
        <v>184</v>
      </c>
      <c r="J36" s="219" t="s">
        <v>235</v>
      </c>
      <c r="K36" s="219" t="s">
        <v>236</v>
      </c>
      <c r="L36" s="222" t="s">
        <v>608</v>
      </c>
    </row>
    <row r="37" spans="2:89">
      <c r="B37" s="14" t="s">
        <v>85</v>
      </c>
      <c r="D37" s="268">
        <f>'3. Site Based'!E16</f>
        <v>0.1</v>
      </c>
      <c r="E37" s="247">
        <f>'3. Site Based'!F16</f>
        <v>0.1</v>
      </c>
      <c r="F37" s="247">
        <f>'3. Site Based'!G16</f>
        <v>0.1</v>
      </c>
      <c r="G37" s="247">
        <f>'3. Site Based'!I16</f>
        <v>0.1</v>
      </c>
      <c r="H37" s="247">
        <f>'3. Site Based'!J16</f>
        <v>0.1</v>
      </c>
      <c r="I37" s="247">
        <f>'3. Site Based'!K16</f>
        <v>0</v>
      </c>
      <c r="J37" s="247">
        <f>'3. Site Based'!E35</f>
        <v>0.1</v>
      </c>
      <c r="K37" s="247">
        <f>'3. Site Based'!F35</f>
        <v>0.1</v>
      </c>
      <c r="L37" s="247">
        <f>'3. Site Based'!G35</f>
        <v>0.1</v>
      </c>
    </row>
    <row r="38" spans="2:89">
      <c r="B38" s="14" t="s">
        <v>83</v>
      </c>
      <c r="D38" s="268">
        <f>'3. Site Based'!E17</f>
        <v>0.08</v>
      </c>
      <c r="E38" s="247">
        <f>'3. Site Based'!F17</f>
        <v>0.08</v>
      </c>
      <c r="F38" s="247">
        <f>'3. Site Based'!G17</f>
        <v>0.08</v>
      </c>
      <c r="G38" s="247">
        <f>'3. Site Based'!I17</f>
        <v>0.08</v>
      </c>
      <c r="H38" s="247">
        <f>'3. Site Based'!J17</f>
        <v>0.08</v>
      </c>
      <c r="I38" s="247">
        <f>'3. Site Based'!K17</f>
        <v>0</v>
      </c>
      <c r="J38" s="247">
        <f>'3. Site Based'!E36</f>
        <v>0.08</v>
      </c>
      <c r="K38" s="247">
        <f>'3. Site Based'!F36</f>
        <v>0.08</v>
      </c>
      <c r="L38" s="247">
        <f>'3. Site Based'!G36</f>
        <v>0.08</v>
      </c>
    </row>
    <row r="39" spans="2:89">
      <c r="B39" s="14" t="s">
        <v>239</v>
      </c>
      <c r="D39" s="268">
        <f>'3. Site Based'!E18*'3. Site Based'!E19</f>
        <v>0.06</v>
      </c>
      <c r="E39" s="268">
        <f>'3. Site Based'!F18*'3. Site Based'!F19</f>
        <v>0.06</v>
      </c>
      <c r="F39" s="268">
        <f>'3. Site Based'!G18*'3. Site Based'!G19</f>
        <v>0.06</v>
      </c>
      <c r="G39" s="268">
        <f>'3. Site Based'!I18*'3. Site Based'!I19</f>
        <v>0.06</v>
      </c>
      <c r="H39" s="268">
        <f>'3. Site Based'!J18*'3. Site Based'!J19</f>
        <v>0.06</v>
      </c>
      <c r="I39" s="268">
        <f>'3. Site Based'!K18*'3. Site Based'!K19</f>
        <v>0</v>
      </c>
      <c r="J39" s="334">
        <v>0.06</v>
      </c>
      <c r="K39" s="334">
        <v>0.06</v>
      </c>
      <c r="L39" s="334">
        <v>0.06</v>
      </c>
    </row>
    <row r="40" spans="2:89">
      <c r="B40" s="14" t="s">
        <v>54</v>
      </c>
      <c r="D40" s="334">
        <v>0.03</v>
      </c>
      <c r="E40" s="247">
        <f>D40</f>
        <v>0.03</v>
      </c>
      <c r="F40" s="247">
        <f>E40</f>
        <v>0.03</v>
      </c>
      <c r="G40" s="247">
        <f>F40</f>
        <v>0.03</v>
      </c>
      <c r="H40" s="247">
        <f>G40</f>
        <v>0.03</v>
      </c>
      <c r="I40" s="247"/>
      <c r="J40" s="247">
        <v>0.03</v>
      </c>
      <c r="K40" s="247">
        <f>J40</f>
        <v>0.03</v>
      </c>
      <c r="L40" s="247">
        <f>K40</f>
        <v>0.03</v>
      </c>
    </row>
    <row r="41" spans="2:89">
      <c r="B41" s="220" t="s">
        <v>95</v>
      </c>
      <c r="D41" s="324">
        <f t="shared" ref="D41:L41" si="5">SUM(D37:D40)</f>
        <v>0.27</v>
      </c>
      <c r="E41" s="248">
        <f t="shared" si="5"/>
        <v>0.27</v>
      </c>
      <c r="F41" s="248">
        <f t="shared" si="5"/>
        <v>0.27</v>
      </c>
      <c r="G41" s="248">
        <f t="shared" si="5"/>
        <v>0.27</v>
      </c>
      <c r="H41" s="248">
        <f t="shared" si="5"/>
        <v>0.27</v>
      </c>
      <c r="I41" s="248">
        <f t="shared" si="5"/>
        <v>0</v>
      </c>
      <c r="J41" s="248">
        <f t="shared" si="5"/>
        <v>0.27</v>
      </c>
      <c r="K41" s="332">
        <f t="shared" si="5"/>
        <v>0.27</v>
      </c>
      <c r="L41" s="248">
        <f t="shared" si="5"/>
        <v>0.27</v>
      </c>
    </row>
    <row r="42" spans="2:89">
      <c r="B42" s="14" t="s">
        <v>185</v>
      </c>
      <c r="D42" s="267">
        <f>'3. Site Based'!E20</f>
        <v>0</v>
      </c>
      <c r="E42" s="267">
        <f>'3. Site Based'!F20</f>
        <v>0</v>
      </c>
      <c r="F42" s="267">
        <f>'3. Site Based'!G20</f>
        <v>0</v>
      </c>
      <c r="G42" s="267">
        <f>'3. Site Based'!I20</f>
        <v>0</v>
      </c>
      <c r="H42" s="267">
        <f>'3. Site Based'!J20</f>
        <v>0</v>
      </c>
      <c r="I42" s="267">
        <f>'3. Site Based'!K20</f>
        <v>0</v>
      </c>
      <c r="J42" s="267">
        <f>'3. Site Based'!E39</f>
        <v>0</v>
      </c>
      <c r="K42" s="267">
        <f>'3. Site Based'!F39</f>
        <v>0</v>
      </c>
      <c r="L42" s="267">
        <f>'3. Site Based'!G39</f>
        <v>0</v>
      </c>
    </row>
    <row r="43" spans="2:89">
      <c r="D43" s="45"/>
      <c r="E43" s="45"/>
      <c r="F43" s="45"/>
      <c r="G43" s="45"/>
      <c r="H43" s="45"/>
      <c r="I43" s="45"/>
      <c r="J43" s="45"/>
      <c r="K43" s="45"/>
      <c r="L43" s="45"/>
      <c r="CJ43"/>
      <c r="CK43"/>
    </row>
    <row r="44" spans="2:89" ht="15.75">
      <c r="D44" s="62" t="s">
        <v>55</v>
      </c>
      <c r="E44" s="63"/>
      <c r="F44" s="63"/>
      <c r="G44" s="63"/>
      <c r="H44" s="63"/>
      <c r="I44" s="64" t="s">
        <v>56</v>
      </c>
      <c r="J44" s="64"/>
      <c r="K44" s="64"/>
      <c r="L44" s="64"/>
      <c r="M44" s="64"/>
      <c r="N44" s="63" t="s">
        <v>57</v>
      </c>
      <c r="O44" s="63"/>
      <c r="P44" s="63"/>
      <c r="Q44" s="63"/>
      <c r="R44" s="63"/>
      <c r="S44" s="64" t="s">
        <v>58</v>
      </c>
      <c r="T44" s="64"/>
      <c r="U44" s="64"/>
      <c r="V44" s="64"/>
      <c r="W44" s="64"/>
      <c r="X44" s="63" t="s">
        <v>59</v>
      </c>
      <c r="Y44" s="63"/>
      <c r="Z44" s="63"/>
      <c r="AA44" s="63"/>
      <c r="AB44" s="63"/>
      <c r="AC44" s="64" t="s">
        <v>60</v>
      </c>
      <c r="AD44" s="64"/>
      <c r="AE44" s="64"/>
      <c r="AF44" s="64"/>
      <c r="AG44" s="64"/>
      <c r="AH44" s="63" t="s">
        <v>61</v>
      </c>
      <c r="AI44" s="63"/>
      <c r="AJ44" s="63"/>
      <c r="AK44" s="63"/>
      <c r="AL44" s="63"/>
      <c r="AM44" s="64" t="s">
        <v>62</v>
      </c>
      <c r="AN44" s="64"/>
      <c r="AO44" s="64"/>
      <c r="AP44" s="64"/>
      <c r="AQ44" s="64"/>
      <c r="AR44" s="63" t="s">
        <v>61</v>
      </c>
      <c r="AS44" s="63"/>
      <c r="AT44" s="63"/>
      <c r="AU44" s="63"/>
      <c r="AV44" s="63"/>
      <c r="AW44" s="64" t="s">
        <v>62</v>
      </c>
      <c r="AX44" s="64"/>
      <c r="AY44" s="64"/>
      <c r="AZ44" s="64"/>
      <c r="BA44" s="64"/>
      <c r="CJ44"/>
      <c r="CK44"/>
    </row>
    <row r="45" spans="2:89" ht="15.75">
      <c r="B45" s="52" t="s">
        <v>186</v>
      </c>
      <c r="D45" s="107" t="s">
        <v>5</v>
      </c>
      <c r="E45" s="107" t="s">
        <v>6</v>
      </c>
      <c r="F45" s="107" t="s">
        <v>7</v>
      </c>
      <c r="G45" s="107" t="s">
        <v>8</v>
      </c>
      <c r="H45" s="107" t="s">
        <v>9</v>
      </c>
      <c r="I45" s="107" t="s">
        <v>10</v>
      </c>
      <c r="J45" s="107" t="s">
        <v>11</v>
      </c>
      <c r="K45" s="107" t="s">
        <v>12</v>
      </c>
      <c r="L45" s="107" t="s">
        <v>13</v>
      </c>
      <c r="M45" s="107" t="s">
        <v>14</v>
      </c>
      <c r="N45" s="107" t="s">
        <v>15</v>
      </c>
      <c r="O45" s="107" t="s">
        <v>16</v>
      </c>
      <c r="P45" s="107" t="s">
        <v>17</v>
      </c>
      <c r="Q45" s="222" t="s">
        <v>18</v>
      </c>
      <c r="R45" s="107" t="s">
        <v>19</v>
      </c>
      <c r="S45" s="108" t="s">
        <v>20</v>
      </c>
      <c r="T45" s="107" t="s">
        <v>21</v>
      </c>
      <c r="U45" s="107" t="s">
        <v>22</v>
      </c>
      <c r="V45" s="107" t="s">
        <v>23</v>
      </c>
      <c r="W45" s="109" t="s">
        <v>24</v>
      </c>
      <c r="X45" s="107" t="s">
        <v>25</v>
      </c>
      <c r="Y45" s="107" t="s">
        <v>26</v>
      </c>
      <c r="Z45" s="107" t="s">
        <v>27</v>
      </c>
      <c r="AA45" s="107" t="s">
        <v>28</v>
      </c>
      <c r="AB45" s="107" t="s">
        <v>29</v>
      </c>
      <c r="AC45" s="108" t="s">
        <v>30</v>
      </c>
      <c r="AD45" s="107" t="s">
        <v>31</v>
      </c>
      <c r="AE45" s="107" t="s">
        <v>32</v>
      </c>
      <c r="AF45" s="107" t="s">
        <v>33</v>
      </c>
      <c r="AG45" s="107" t="s">
        <v>34</v>
      </c>
      <c r="AH45" s="107" t="s">
        <v>35</v>
      </c>
      <c r="AI45" s="107" t="s">
        <v>36</v>
      </c>
      <c r="AJ45" s="107" t="s">
        <v>37</v>
      </c>
      <c r="AK45" s="107" t="s">
        <v>38</v>
      </c>
      <c r="AL45" s="107" t="s">
        <v>39</v>
      </c>
      <c r="AM45" s="107" t="s">
        <v>40</v>
      </c>
      <c r="AN45" s="107" t="s">
        <v>41</v>
      </c>
      <c r="AO45" s="107" t="s">
        <v>42</v>
      </c>
      <c r="AP45" s="107" t="s">
        <v>43</v>
      </c>
      <c r="AQ45" s="107" t="s">
        <v>53</v>
      </c>
      <c r="AR45" s="107" t="s">
        <v>331</v>
      </c>
      <c r="AS45" s="107" t="s">
        <v>332</v>
      </c>
      <c r="AT45" s="107" t="s">
        <v>333</v>
      </c>
      <c r="AU45" s="107" t="s">
        <v>334</v>
      </c>
      <c r="AV45" s="107" t="s">
        <v>335</v>
      </c>
      <c r="AW45" s="107" t="s">
        <v>336</v>
      </c>
      <c r="AX45" s="107" t="s">
        <v>337</v>
      </c>
      <c r="AY45" s="107" t="s">
        <v>338</v>
      </c>
      <c r="AZ45" s="107" t="s">
        <v>339</v>
      </c>
      <c r="BA45" s="107" t="s">
        <v>340</v>
      </c>
      <c r="BB45" s="107" t="s">
        <v>478</v>
      </c>
      <c r="BC45" s="107" t="s">
        <v>479</v>
      </c>
      <c r="BD45" s="107" t="s">
        <v>480</v>
      </c>
      <c r="BE45" s="107" t="s">
        <v>481</v>
      </c>
      <c r="BF45" s="107" t="s">
        <v>482</v>
      </c>
      <c r="BG45" s="107" t="s">
        <v>483</v>
      </c>
      <c r="BH45" s="107" t="s">
        <v>484</v>
      </c>
      <c r="BI45" s="107" t="s">
        <v>485</v>
      </c>
      <c r="BJ45" s="107" t="s">
        <v>486</v>
      </c>
      <c r="BK45" s="107" t="s">
        <v>487</v>
      </c>
      <c r="BL45" s="107" t="s">
        <v>488</v>
      </c>
      <c r="BM45" s="107" t="s">
        <v>489</v>
      </c>
      <c r="BN45" s="107" t="s">
        <v>490</v>
      </c>
      <c r="BO45" s="107" t="s">
        <v>491</v>
      </c>
      <c r="BP45" s="107" t="s">
        <v>492</v>
      </c>
      <c r="BQ45" s="107" t="s">
        <v>493</v>
      </c>
      <c r="BR45" s="107" t="s">
        <v>494</v>
      </c>
      <c r="BS45" s="107" t="s">
        <v>495</v>
      </c>
      <c r="BT45" s="107" t="s">
        <v>496</v>
      </c>
      <c r="BU45" s="107" t="s">
        <v>497</v>
      </c>
      <c r="BV45" s="107" t="s">
        <v>498</v>
      </c>
      <c r="BW45" s="107" t="s">
        <v>499</v>
      </c>
      <c r="BX45" s="107" t="s">
        <v>500</v>
      </c>
      <c r="BY45" s="107" t="s">
        <v>501</v>
      </c>
      <c r="BZ45" s="107" t="s">
        <v>502</v>
      </c>
      <c r="CA45" s="107" t="s">
        <v>503</v>
      </c>
      <c r="CB45" s="107" t="s">
        <v>504</v>
      </c>
      <c r="CC45" s="107" t="s">
        <v>505</v>
      </c>
      <c r="CD45" s="107" t="s">
        <v>506</v>
      </c>
      <c r="CE45" s="107" t="s">
        <v>507</v>
      </c>
      <c r="CF45" s="107" t="s">
        <v>508</v>
      </c>
      <c r="CG45" s="107" t="s">
        <v>509</v>
      </c>
      <c r="CH45" s="107" t="s">
        <v>514</v>
      </c>
      <c r="CI45" s="107" t="s">
        <v>515</v>
      </c>
      <c r="CJ45"/>
      <c r="CK45"/>
    </row>
    <row r="46" spans="2:89">
      <c r="B46" s="44" t="s">
        <v>172</v>
      </c>
      <c r="D46" s="245">
        <f t="shared" ref="D46:AQ46" si="6">D7*(1-$D$34)</f>
        <v>2968.35</v>
      </c>
      <c r="E46" s="245">
        <f t="shared" si="6"/>
        <v>2968.35</v>
      </c>
      <c r="F46" s="245">
        <f t="shared" si="6"/>
        <v>2968.35</v>
      </c>
      <c r="G46" s="245">
        <f t="shared" si="6"/>
        <v>2968.35</v>
      </c>
      <c r="H46" s="245">
        <f t="shared" si="6"/>
        <v>2968.35</v>
      </c>
      <c r="I46" s="245">
        <f t="shared" si="6"/>
        <v>2968.35</v>
      </c>
      <c r="J46" s="245">
        <f t="shared" si="6"/>
        <v>2968.35</v>
      </c>
      <c r="K46" s="245">
        <f t="shared" si="6"/>
        <v>2968.35</v>
      </c>
      <c r="L46" s="245">
        <f t="shared" si="6"/>
        <v>2968.35</v>
      </c>
      <c r="M46" s="245">
        <f t="shared" si="6"/>
        <v>2968.35</v>
      </c>
      <c r="N46" s="245">
        <f t="shared" si="6"/>
        <v>2968.35</v>
      </c>
      <c r="O46" s="245">
        <f t="shared" si="6"/>
        <v>2968.35</v>
      </c>
      <c r="P46" s="245">
        <f t="shared" si="6"/>
        <v>2968.35</v>
      </c>
      <c r="Q46" s="363">
        <f t="shared" si="6"/>
        <v>2968.35</v>
      </c>
      <c r="R46" s="245">
        <f t="shared" si="6"/>
        <v>2968.35</v>
      </c>
      <c r="S46" s="245">
        <f t="shared" si="6"/>
        <v>2968.35</v>
      </c>
      <c r="T46" s="245">
        <f t="shared" si="6"/>
        <v>2968.35</v>
      </c>
      <c r="U46" s="245">
        <f t="shared" si="6"/>
        <v>2968.35</v>
      </c>
      <c r="V46" s="245">
        <f t="shared" si="6"/>
        <v>2968.35</v>
      </c>
      <c r="W46" s="245">
        <f t="shared" si="6"/>
        <v>2968.35</v>
      </c>
      <c r="X46" s="245">
        <f t="shared" si="6"/>
        <v>2968.35</v>
      </c>
      <c r="Y46" s="245">
        <f t="shared" si="6"/>
        <v>2968.35</v>
      </c>
      <c r="Z46" s="245">
        <f t="shared" si="6"/>
        <v>2968.35</v>
      </c>
      <c r="AA46" s="245">
        <f t="shared" si="6"/>
        <v>2968.35</v>
      </c>
      <c r="AB46" s="245">
        <f t="shared" si="6"/>
        <v>2968.35</v>
      </c>
      <c r="AC46" s="245">
        <f t="shared" si="6"/>
        <v>2968.35</v>
      </c>
      <c r="AD46" s="245">
        <f t="shared" si="6"/>
        <v>2968.35</v>
      </c>
      <c r="AE46" s="245">
        <f t="shared" si="6"/>
        <v>2968.35</v>
      </c>
      <c r="AF46" s="245">
        <f t="shared" si="6"/>
        <v>2968.35</v>
      </c>
      <c r="AG46" s="245">
        <f t="shared" si="6"/>
        <v>2968.35</v>
      </c>
      <c r="AH46" s="245">
        <f t="shared" si="6"/>
        <v>2968.35</v>
      </c>
      <c r="AI46" s="245">
        <f t="shared" si="6"/>
        <v>2968.35</v>
      </c>
      <c r="AJ46" s="245">
        <f t="shared" si="6"/>
        <v>2968.35</v>
      </c>
      <c r="AK46" s="245">
        <f t="shared" si="6"/>
        <v>2968.35</v>
      </c>
      <c r="AL46" s="245">
        <f t="shared" si="6"/>
        <v>2968.35</v>
      </c>
      <c r="AM46" s="245">
        <f t="shared" si="6"/>
        <v>2968.35</v>
      </c>
      <c r="AN46" s="245">
        <f t="shared" si="6"/>
        <v>2968.35</v>
      </c>
      <c r="AO46" s="245">
        <f t="shared" si="6"/>
        <v>2968.35</v>
      </c>
      <c r="AP46" s="245">
        <f t="shared" si="6"/>
        <v>2968.35</v>
      </c>
      <c r="AQ46" s="245">
        <f t="shared" si="6"/>
        <v>2968.35</v>
      </c>
      <c r="AR46" s="245">
        <f t="shared" ref="AR46:BA46" si="7">AR7*(1-$D$34)</f>
        <v>2968.35</v>
      </c>
      <c r="AS46" s="245">
        <f t="shared" si="7"/>
        <v>2968.35</v>
      </c>
      <c r="AT46" s="245">
        <f t="shared" si="7"/>
        <v>2968.35</v>
      </c>
      <c r="AU46" s="245">
        <f t="shared" si="7"/>
        <v>2968.35</v>
      </c>
      <c r="AV46" s="245">
        <f t="shared" si="7"/>
        <v>2968.35</v>
      </c>
      <c r="AW46" s="245">
        <f t="shared" si="7"/>
        <v>2968.35</v>
      </c>
      <c r="AX46" s="245">
        <f t="shared" si="7"/>
        <v>2968.35</v>
      </c>
      <c r="AY46" s="245">
        <f t="shared" si="7"/>
        <v>2968.35</v>
      </c>
      <c r="AZ46" s="245">
        <f t="shared" si="7"/>
        <v>2968.35</v>
      </c>
      <c r="BA46" s="245">
        <f t="shared" si="7"/>
        <v>2968.35</v>
      </c>
      <c r="BB46" s="245">
        <f t="shared" ref="BB46:CI46" si="8">BB7*(1-$D$34)</f>
        <v>2968.35</v>
      </c>
      <c r="BC46" s="245">
        <f t="shared" si="8"/>
        <v>2968.35</v>
      </c>
      <c r="BD46" s="245">
        <f t="shared" si="8"/>
        <v>2968.35</v>
      </c>
      <c r="BE46" s="245">
        <f t="shared" si="8"/>
        <v>2968.35</v>
      </c>
      <c r="BF46" s="245">
        <f t="shared" si="8"/>
        <v>2968.35</v>
      </c>
      <c r="BG46" s="245">
        <f t="shared" si="8"/>
        <v>2968.35</v>
      </c>
      <c r="BH46" s="245">
        <f t="shared" si="8"/>
        <v>2968.35</v>
      </c>
      <c r="BI46" s="245">
        <f t="shared" si="8"/>
        <v>2968.35</v>
      </c>
      <c r="BJ46" s="245">
        <f t="shared" si="8"/>
        <v>2968.35</v>
      </c>
      <c r="BK46" s="245">
        <f t="shared" si="8"/>
        <v>2968.35</v>
      </c>
      <c r="BL46" s="245">
        <f t="shared" si="8"/>
        <v>2968.35</v>
      </c>
      <c r="BM46" s="245">
        <f t="shared" si="8"/>
        <v>2968.35</v>
      </c>
      <c r="BN46" s="245">
        <f t="shared" si="8"/>
        <v>2968.35</v>
      </c>
      <c r="BO46" s="245">
        <f t="shared" si="8"/>
        <v>2968.35</v>
      </c>
      <c r="BP46" s="245">
        <f t="shared" si="8"/>
        <v>2968.35</v>
      </c>
      <c r="BQ46" s="245">
        <f t="shared" si="8"/>
        <v>2968.35</v>
      </c>
      <c r="BR46" s="245">
        <f t="shared" si="8"/>
        <v>2968.35</v>
      </c>
      <c r="BS46" s="245">
        <f t="shared" si="8"/>
        <v>2968.35</v>
      </c>
      <c r="BT46" s="245">
        <f t="shared" si="8"/>
        <v>2968.35</v>
      </c>
      <c r="BU46" s="245">
        <f t="shared" si="8"/>
        <v>2968.35</v>
      </c>
      <c r="BV46" s="245">
        <f t="shared" si="8"/>
        <v>2968.35</v>
      </c>
      <c r="BW46" s="245">
        <f t="shared" si="8"/>
        <v>2968.35</v>
      </c>
      <c r="BX46" s="245">
        <f t="shared" si="8"/>
        <v>2968.35</v>
      </c>
      <c r="BY46" s="245">
        <f t="shared" si="8"/>
        <v>2968.35</v>
      </c>
      <c r="BZ46" s="245">
        <f t="shared" si="8"/>
        <v>2968.35</v>
      </c>
      <c r="CA46" s="245">
        <f t="shared" si="8"/>
        <v>2968.35</v>
      </c>
      <c r="CB46" s="245">
        <f t="shared" si="8"/>
        <v>2968.35</v>
      </c>
      <c r="CC46" s="245">
        <f t="shared" si="8"/>
        <v>2968.35</v>
      </c>
      <c r="CD46" s="245">
        <f t="shared" si="8"/>
        <v>2968.35</v>
      </c>
      <c r="CE46" s="245">
        <f t="shared" si="8"/>
        <v>2968.35</v>
      </c>
      <c r="CF46" s="245">
        <f t="shared" si="8"/>
        <v>2968.35</v>
      </c>
      <c r="CG46" s="245">
        <f t="shared" si="8"/>
        <v>2968.35</v>
      </c>
      <c r="CH46" s="245">
        <f t="shared" si="8"/>
        <v>2968.35</v>
      </c>
      <c r="CI46" s="245">
        <f t="shared" si="8"/>
        <v>2968.35</v>
      </c>
      <c r="CJ46"/>
      <c r="CK46"/>
    </row>
    <row r="47" spans="2:89">
      <c r="B47" s="44" t="s">
        <v>173</v>
      </c>
      <c r="D47" s="245">
        <f t="shared" ref="D47:AQ47" si="9">D8*(1-$E$34)</f>
        <v>2968.35</v>
      </c>
      <c r="E47" s="245">
        <f t="shared" si="9"/>
        <v>2968.35</v>
      </c>
      <c r="F47" s="245">
        <f t="shared" si="9"/>
        <v>2968.35</v>
      </c>
      <c r="G47" s="245">
        <f t="shared" si="9"/>
        <v>2968.35</v>
      </c>
      <c r="H47" s="245">
        <f t="shared" si="9"/>
        <v>2968.35</v>
      </c>
      <c r="I47" s="245">
        <f t="shared" si="9"/>
        <v>2968.35</v>
      </c>
      <c r="J47" s="245">
        <f t="shared" si="9"/>
        <v>2968.35</v>
      </c>
      <c r="K47" s="245">
        <f t="shared" si="9"/>
        <v>2968.35</v>
      </c>
      <c r="L47" s="245">
        <f t="shared" si="9"/>
        <v>2968.35</v>
      </c>
      <c r="M47" s="245">
        <f t="shared" si="9"/>
        <v>2968.35</v>
      </c>
      <c r="N47" s="245">
        <f t="shared" si="9"/>
        <v>2968.35</v>
      </c>
      <c r="O47" s="245">
        <f t="shared" si="9"/>
        <v>2968.35</v>
      </c>
      <c r="P47" s="245">
        <f t="shared" si="9"/>
        <v>2968.35</v>
      </c>
      <c r="Q47" s="363">
        <f t="shared" si="9"/>
        <v>2968.35</v>
      </c>
      <c r="R47" s="245">
        <f t="shared" si="9"/>
        <v>2968.35</v>
      </c>
      <c r="S47" s="245">
        <f t="shared" si="9"/>
        <v>2968.35</v>
      </c>
      <c r="T47" s="245">
        <f t="shared" si="9"/>
        <v>2968.35</v>
      </c>
      <c r="U47" s="245">
        <f t="shared" si="9"/>
        <v>2968.35</v>
      </c>
      <c r="V47" s="245">
        <f t="shared" si="9"/>
        <v>2968.35</v>
      </c>
      <c r="W47" s="245">
        <f t="shared" si="9"/>
        <v>2968.35</v>
      </c>
      <c r="X47" s="245">
        <f t="shared" si="9"/>
        <v>2968.35</v>
      </c>
      <c r="Y47" s="245">
        <f t="shared" si="9"/>
        <v>2968.35</v>
      </c>
      <c r="Z47" s="245">
        <f t="shared" si="9"/>
        <v>2968.35</v>
      </c>
      <c r="AA47" s="245">
        <f t="shared" si="9"/>
        <v>2968.35</v>
      </c>
      <c r="AB47" s="245">
        <f t="shared" si="9"/>
        <v>2968.35</v>
      </c>
      <c r="AC47" s="245">
        <f t="shared" si="9"/>
        <v>2968.35</v>
      </c>
      <c r="AD47" s="245">
        <f t="shared" si="9"/>
        <v>2968.35</v>
      </c>
      <c r="AE47" s="245">
        <f t="shared" si="9"/>
        <v>2968.35</v>
      </c>
      <c r="AF47" s="245">
        <f t="shared" si="9"/>
        <v>2968.35</v>
      </c>
      <c r="AG47" s="245">
        <f t="shared" si="9"/>
        <v>2968.35</v>
      </c>
      <c r="AH47" s="245">
        <f t="shared" si="9"/>
        <v>2968.35</v>
      </c>
      <c r="AI47" s="245">
        <f t="shared" si="9"/>
        <v>2968.35</v>
      </c>
      <c r="AJ47" s="245">
        <f t="shared" si="9"/>
        <v>2968.35</v>
      </c>
      <c r="AK47" s="245">
        <f t="shared" si="9"/>
        <v>2968.35</v>
      </c>
      <c r="AL47" s="245">
        <f t="shared" si="9"/>
        <v>2968.35</v>
      </c>
      <c r="AM47" s="245">
        <f t="shared" si="9"/>
        <v>2968.35</v>
      </c>
      <c r="AN47" s="245">
        <f t="shared" si="9"/>
        <v>2968.35</v>
      </c>
      <c r="AO47" s="245">
        <f t="shared" si="9"/>
        <v>2968.35</v>
      </c>
      <c r="AP47" s="245">
        <f t="shared" si="9"/>
        <v>2968.35</v>
      </c>
      <c r="AQ47" s="245">
        <f t="shared" si="9"/>
        <v>2968.35</v>
      </c>
      <c r="AR47" s="245">
        <f t="shared" ref="AR47:BA47" si="10">AR8*(1-$E$34)</f>
        <v>2968.35</v>
      </c>
      <c r="AS47" s="245">
        <f t="shared" si="10"/>
        <v>2968.35</v>
      </c>
      <c r="AT47" s="245">
        <f t="shared" si="10"/>
        <v>2968.35</v>
      </c>
      <c r="AU47" s="245">
        <f t="shared" si="10"/>
        <v>2968.35</v>
      </c>
      <c r="AV47" s="245">
        <f t="shared" si="10"/>
        <v>2968.35</v>
      </c>
      <c r="AW47" s="245">
        <f t="shared" si="10"/>
        <v>2968.35</v>
      </c>
      <c r="AX47" s="245">
        <f t="shared" si="10"/>
        <v>2968.35</v>
      </c>
      <c r="AY47" s="245">
        <f t="shared" si="10"/>
        <v>2968.35</v>
      </c>
      <c r="AZ47" s="245">
        <f t="shared" si="10"/>
        <v>2968.35</v>
      </c>
      <c r="BA47" s="245">
        <f t="shared" si="10"/>
        <v>2968.35</v>
      </c>
      <c r="BB47" s="245">
        <f t="shared" ref="BB47:CI47" si="11">BB8*(1-$E$34)</f>
        <v>2968.35</v>
      </c>
      <c r="BC47" s="245">
        <f t="shared" si="11"/>
        <v>2968.35</v>
      </c>
      <c r="BD47" s="245">
        <f t="shared" si="11"/>
        <v>2968.35</v>
      </c>
      <c r="BE47" s="245">
        <f t="shared" si="11"/>
        <v>2968.35</v>
      </c>
      <c r="BF47" s="245">
        <f t="shared" si="11"/>
        <v>2968.35</v>
      </c>
      <c r="BG47" s="245">
        <f t="shared" si="11"/>
        <v>2968.35</v>
      </c>
      <c r="BH47" s="245">
        <f t="shared" si="11"/>
        <v>2968.35</v>
      </c>
      <c r="BI47" s="245">
        <f t="shared" si="11"/>
        <v>2968.35</v>
      </c>
      <c r="BJ47" s="245">
        <f t="shared" si="11"/>
        <v>2968.35</v>
      </c>
      <c r="BK47" s="245">
        <f t="shared" si="11"/>
        <v>2968.35</v>
      </c>
      <c r="BL47" s="245">
        <f t="shared" si="11"/>
        <v>2968.35</v>
      </c>
      <c r="BM47" s="245">
        <f t="shared" si="11"/>
        <v>2968.35</v>
      </c>
      <c r="BN47" s="245">
        <f t="shared" si="11"/>
        <v>2968.35</v>
      </c>
      <c r="BO47" s="245">
        <f t="shared" si="11"/>
        <v>2968.35</v>
      </c>
      <c r="BP47" s="245">
        <f t="shared" si="11"/>
        <v>2968.35</v>
      </c>
      <c r="BQ47" s="245">
        <f t="shared" si="11"/>
        <v>2968.35</v>
      </c>
      <c r="BR47" s="245">
        <f t="shared" si="11"/>
        <v>2968.35</v>
      </c>
      <c r="BS47" s="245">
        <f t="shared" si="11"/>
        <v>2968.35</v>
      </c>
      <c r="BT47" s="245">
        <f t="shared" si="11"/>
        <v>2968.35</v>
      </c>
      <c r="BU47" s="245">
        <f t="shared" si="11"/>
        <v>2968.35</v>
      </c>
      <c r="BV47" s="245">
        <f t="shared" si="11"/>
        <v>2968.35</v>
      </c>
      <c r="BW47" s="245">
        <f t="shared" si="11"/>
        <v>2968.35</v>
      </c>
      <c r="BX47" s="245">
        <f t="shared" si="11"/>
        <v>2968.35</v>
      </c>
      <c r="BY47" s="245">
        <f t="shared" si="11"/>
        <v>2968.35</v>
      </c>
      <c r="BZ47" s="245">
        <f t="shared" si="11"/>
        <v>2968.35</v>
      </c>
      <c r="CA47" s="245">
        <f t="shared" si="11"/>
        <v>2968.35</v>
      </c>
      <c r="CB47" s="245">
        <f t="shared" si="11"/>
        <v>2968.35</v>
      </c>
      <c r="CC47" s="245">
        <f t="shared" si="11"/>
        <v>2968.35</v>
      </c>
      <c r="CD47" s="245">
        <f t="shared" si="11"/>
        <v>2968.35</v>
      </c>
      <c r="CE47" s="245">
        <f t="shared" si="11"/>
        <v>2968.35</v>
      </c>
      <c r="CF47" s="245">
        <f t="shared" si="11"/>
        <v>2968.35</v>
      </c>
      <c r="CG47" s="245">
        <f t="shared" si="11"/>
        <v>2968.35</v>
      </c>
      <c r="CH47" s="245">
        <f t="shared" si="11"/>
        <v>2968.35</v>
      </c>
      <c r="CI47" s="245">
        <f t="shared" si="11"/>
        <v>2968.35</v>
      </c>
      <c r="CJ47"/>
      <c r="CK47"/>
    </row>
    <row r="48" spans="2:89">
      <c r="B48" s="44" t="s">
        <v>174</v>
      </c>
      <c r="D48" s="245">
        <f t="shared" ref="D48:AQ48" si="12">D9*(1-$F$34)</f>
        <v>2968.35</v>
      </c>
      <c r="E48" s="245">
        <f t="shared" si="12"/>
        <v>2968.35</v>
      </c>
      <c r="F48" s="245">
        <f t="shared" si="12"/>
        <v>2968.35</v>
      </c>
      <c r="G48" s="245">
        <f t="shared" si="12"/>
        <v>2968.35</v>
      </c>
      <c r="H48" s="245">
        <f t="shared" si="12"/>
        <v>2968.35</v>
      </c>
      <c r="I48" s="245">
        <f t="shared" si="12"/>
        <v>2968.35</v>
      </c>
      <c r="J48" s="245">
        <f t="shared" si="12"/>
        <v>2968.35</v>
      </c>
      <c r="K48" s="245">
        <f t="shared" si="12"/>
        <v>2968.35</v>
      </c>
      <c r="L48" s="245">
        <f t="shared" si="12"/>
        <v>2968.35</v>
      </c>
      <c r="M48" s="245">
        <f t="shared" si="12"/>
        <v>2968.35</v>
      </c>
      <c r="N48" s="245">
        <f t="shared" si="12"/>
        <v>2968.35</v>
      </c>
      <c r="O48" s="245">
        <f t="shared" si="12"/>
        <v>2968.35</v>
      </c>
      <c r="P48" s="245">
        <f t="shared" si="12"/>
        <v>2968.35</v>
      </c>
      <c r="Q48" s="363">
        <f t="shared" si="12"/>
        <v>2968.35</v>
      </c>
      <c r="R48" s="245">
        <f t="shared" si="12"/>
        <v>2968.35</v>
      </c>
      <c r="S48" s="245">
        <f t="shared" si="12"/>
        <v>2968.35</v>
      </c>
      <c r="T48" s="245">
        <f t="shared" si="12"/>
        <v>2968.35</v>
      </c>
      <c r="U48" s="245">
        <f t="shared" si="12"/>
        <v>2968.35</v>
      </c>
      <c r="V48" s="245">
        <f t="shared" si="12"/>
        <v>2968.35</v>
      </c>
      <c r="W48" s="245">
        <f t="shared" si="12"/>
        <v>2968.35</v>
      </c>
      <c r="X48" s="245">
        <f t="shared" si="12"/>
        <v>2968.35</v>
      </c>
      <c r="Y48" s="245">
        <f t="shared" si="12"/>
        <v>2968.35</v>
      </c>
      <c r="Z48" s="245">
        <f t="shared" si="12"/>
        <v>2968.35</v>
      </c>
      <c r="AA48" s="245">
        <f t="shared" si="12"/>
        <v>2968.35</v>
      </c>
      <c r="AB48" s="245">
        <f t="shared" si="12"/>
        <v>2968.35</v>
      </c>
      <c r="AC48" s="245">
        <f t="shared" si="12"/>
        <v>2968.35</v>
      </c>
      <c r="AD48" s="245">
        <f t="shared" si="12"/>
        <v>2968.35</v>
      </c>
      <c r="AE48" s="245">
        <f t="shared" si="12"/>
        <v>2968.35</v>
      </c>
      <c r="AF48" s="245">
        <f t="shared" si="12"/>
        <v>2968.35</v>
      </c>
      <c r="AG48" s="245">
        <f t="shared" si="12"/>
        <v>2968.35</v>
      </c>
      <c r="AH48" s="245">
        <f t="shared" si="12"/>
        <v>2968.35</v>
      </c>
      <c r="AI48" s="245">
        <f t="shared" si="12"/>
        <v>2968.35</v>
      </c>
      <c r="AJ48" s="245">
        <f t="shared" si="12"/>
        <v>2968.35</v>
      </c>
      <c r="AK48" s="245">
        <f t="shared" si="12"/>
        <v>2968.35</v>
      </c>
      <c r="AL48" s="245">
        <f t="shared" si="12"/>
        <v>2968.35</v>
      </c>
      <c r="AM48" s="245">
        <f t="shared" si="12"/>
        <v>2968.35</v>
      </c>
      <c r="AN48" s="245">
        <f t="shared" si="12"/>
        <v>2968.35</v>
      </c>
      <c r="AO48" s="245">
        <f t="shared" si="12"/>
        <v>2968.35</v>
      </c>
      <c r="AP48" s="245">
        <f t="shared" si="12"/>
        <v>2968.35</v>
      </c>
      <c r="AQ48" s="245">
        <f t="shared" si="12"/>
        <v>2968.35</v>
      </c>
      <c r="AR48" s="245">
        <f t="shared" ref="AR48:BA48" si="13">AR9*(1-$F$34)</f>
        <v>2968.35</v>
      </c>
      <c r="AS48" s="245">
        <f t="shared" si="13"/>
        <v>2968.35</v>
      </c>
      <c r="AT48" s="245">
        <f t="shared" si="13"/>
        <v>2968.35</v>
      </c>
      <c r="AU48" s="245">
        <f t="shared" si="13"/>
        <v>2968.35</v>
      </c>
      <c r="AV48" s="245">
        <f t="shared" si="13"/>
        <v>2968.35</v>
      </c>
      <c r="AW48" s="245">
        <f t="shared" si="13"/>
        <v>2968.35</v>
      </c>
      <c r="AX48" s="245">
        <f t="shared" si="13"/>
        <v>2968.35</v>
      </c>
      <c r="AY48" s="245">
        <f t="shared" si="13"/>
        <v>2968.35</v>
      </c>
      <c r="AZ48" s="245">
        <f t="shared" si="13"/>
        <v>2968.35</v>
      </c>
      <c r="BA48" s="245">
        <f t="shared" si="13"/>
        <v>2968.35</v>
      </c>
      <c r="BB48" s="245">
        <f t="shared" ref="BB48:CI48" si="14">BB9*(1-$F$34)</f>
        <v>2968.35</v>
      </c>
      <c r="BC48" s="245">
        <f t="shared" si="14"/>
        <v>2968.35</v>
      </c>
      <c r="BD48" s="245">
        <f t="shared" si="14"/>
        <v>2968.35</v>
      </c>
      <c r="BE48" s="245">
        <f t="shared" si="14"/>
        <v>2968.35</v>
      </c>
      <c r="BF48" s="245">
        <f t="shared" si="14"/>
        <v>2968.35</v>
      </c>
      <c r="BG48" s="245">
        <f t="shared" si="14"/>
        <v>2968.35</v>
      </c>
      <c r="BH48" s="245">
        <f t="shared" si="14"/>
        <v>2968.35</v>
      </c>
      <c r="BI48" s="245">
        <f t="shared" si="14"/>
        <v>2968.35</v>
      </c>
      <c r="BJ48" s="245">
        <f t="shared" si="14"/>
        <v>2968.35</v>
      </c>
      <c r="BK48" s="245">
        <f t="shared" si="14"/>
        <v>2968.35</v>
      </c>
      <c r="BL48" s="245">
        <f t="shared" si="14"/>
        <v>2968.35</v>
      </c>
      <c r="BM48" s="245">
        <f t="shared" si="14"/>
        <v>2968.35</v>
      </c>
      <c r="BN48" s="245">
        <f t="shared" si="14"/>
        <v>2968.35</v>
      </c>
      <c r="BO48" s="245">
        <f t="shared" si="14"/>
        <v>2968.35</v>
      </c>
      <c r="BP48" s="245">
        <f t="shared" si="14"/>
        <v>2968.35</v>
      </c>
      <c r="BQ48" s="245">
        <f t="shared" si="14"/>
        <v>2968.35</v>
      </c>
      <c r="BR48" s="245">
        <f t="shared" si="14"/>
        <v>2968.35</v>
      </c>
      <c r="BS48" s="245">
        <f t="shared" si="14"/>
        <v>2968.35</v>
      </c>
      <c r="BT48" s="245">
        <f t="shared" si="14"/>
        <v>2968.35</v>
      </c>
      <c r="BU48" s="245">
        <f t="shared" si="14"/>
        <v>2968.35</v>
      </c>
      <c r="BV48" s="245">
        <f t="shared" si="14"/>
        <v>2968.35</v>
      </c>
      <c r="BW48" s="245">
        <f t="shared" si="14"/>
        <v>2968.35</v>
      </c>
      <c r="BX48" s="245">
        <f t="shared" si="14"/>
        <v>2968.35</v>
      </c>
      <c r="BY48" s="245">
        <f t="shared" si="14"/>
        <v>2968.35</v>
      </c>
      <c r="BZ48" s="245">
        <f t="shared" si="14"/>
        <v>2968.35</v>
      </c>
      <c r="CA48" s="245">
        <f t="shared" si="14"/>
        <v>2968.35</v>
      </c>
      <c r="CB48" s="245">
        <f t="shared" si="14"/>
        <v>2968.35</v>
      </c>
      <c r="CC48" s="245">
        <f t="shared" si="14"/>
        <v>2968.35</v>
      </c>
      <c r="CD48" s="245">
        <f t="shared" si="14"/>
        <v>2968.35</v>
      </c>
      <c r="CE48" s="245">
        <f t="shared" si="14"/>
        <v>2968.35</v>
      </c>
      <c r="CF48" s="245">
        <f t="shared" si="14"/>
        <v>2968.35</v>
      </c>
      <c r="CG48" s="245">
        <f t="shared" si="14"/>
        <v>2968.35</v>
      </c>
      <c r="CH48" s="245">
        <f t="shared" si="14"/>
        <v>2968.35</v>
      </c>
      <c r="CI48" s="245">
        <f t="shared" si="14"/>
        <v>2968.35</v>
      </c>
      <c r="CJ48"/>
      <c r="CK48"/>
    </row>
    <row r="49" spans="2:89">
      <c r="B49" s="44" t="s">
        <v>175</v>
      </c>
      <c r="D49" s="245">
        <f>D10*(1-$G$34)</f>
        <v>1682.0650000000001</v>
      </c>
      <c r="E49" s="245">
        <f t="shared" ref="E49:AQ49" si="15">E10*(1-$G$34)</f>
        <v>1682.0650000000001</v>
      </c>
      <c r="F49" s="245">
        <f t="shared" si="15"/>
        <v>1682.0650000000001</v>
      </c>
      <c r="G49" s="245">
        <f t="shared" si="15"/>
        <v>1682.0650000000001</v>
      </c>
      <c r="H49" s="245">
        <f t="shared" si="15"/>
        <v>1682.0650000000001</v>
      </c>
      <c r="I49" s="245">
        <f t="shared" si="15"/>
        <v>1682.0650000000001</v>
      </c>
      <c r="J49" s="245">
        <f t="shared" si="15"/>
        <v>1682.0650000000001</v>
      </c>
      <c r="K49" s="245">
        <f t="shared" si="15"/>
        <v>1682.0650000000001</v>
      </c>
      <c r="L49" s="245">
        <f t="shared" si="15"/>
        <v>1682.0650000000001</v>
      </c>
      <c r="M49" s="245">
        <f t="shared" si="15"/>
        <v>1682.0650000000001</v>
      </c>
      <c r="N49" s="245">
        <f t="shared" si="15"/>
        <v>1682.0650000000001</v>
      </c>
      <c r="O49" s="245">
        <f t="shared" si="15"/>
        <v>1682.0650000000001</v>
      </c>
      <c r="P49" s="245">
        <f t="shared" si="15"/>
        <v>1682.0650000000001</v>
      </c>
      <c r="Q49" s="363">
        <f t="shared" si="15"/>
        <v>1682.0650000000001</v>
      </c>
      <c r="R49" s="245">
        <f t="shared" si="15"/>
        <v>1682.0650000000001</v>
      </c>
      <c r="S49" s="245">
        <f t="shared" si="15"/>
        <v>1682.0650000000001</v>
      </c>
      <c r="T49" s="245">
        <f t="shared" si="15"/>
        <v>1682.0650000000001</v>
      </c>
      <c r="U49" s="245">
        <f t="shared" si="15"/>
        <v>1682.0650000000001</v>
      </c>
      <c r="V49" s="245">
        <f t="shared" si="15"/>
        <v>1682.0650000000001</v>
      </c>
      <c r="W49" s="245">
        <f t="shared" si="15"/>
        <v>1682.0650000000001</v>
      </c>
      <c r="X49" s="245">
        <f t="shared" si="15"/>
        <v>1682.0650000000001</v>
      </c>
      <c r="Y49" s="245">
        <f t="shared" si="15"/>
        <v>1682.0650000000001</v>
      </c>
      <c r="Z49" s="245">
        <f t="shared" si="15"/>
        <v>1682.0650000000001</v>
      </c>
      <c r="AA49" s="245">
        <f t="shared" si="15"/>
        <v>1682.0650000000001</v>
      </c>
      <c r="AB49" s="245">
        <f t="shared" si="15"/>
        <v>1682.0650000000001</v>
      </c>
      <c r="AC49" s="245">
        <f t="shared" si="15"/>
        <v>1682.0650000000001</v>
      </c>
      <c r="AD49" s="245">
        <f t="shared" si="15"/>
        <v>1682.0650000000001</v>
      </c>
      <c r="AE49" s="245">
        <f t="shared" si="15"/>
        <v>1682.0650000000001</v>
      </c>
      <c r="AF49" s="245">
        <f t="shared" si="15"/>
        <v>1682.0650000000001</v>
      </c>
      <c r="AG49" s="245">
        <f t="shared" si="15"/>
        <v>1682.0650000000001</v>
      </c>
      <c r="AH49" s="245">
        <f t="shared" si="15"/>
        <v>1682.0650000000001</v>
      </c>
      <c r="AI49" s="245">
        <f t="shared" si="15"/>
        <v>1682.0650000000001</v>
      </c>
      <c r="AJ49" s="245">
        <f t="shared" si="15"/>
        <v>1682.0650000000001</v>
      </c>
      <c r="AK49" s="245">
        <f t="shared" si="15"/>
        <v>1682.0650000000001</v>
      </c>
      <c r="AL49" s="245">
        <f t="shared" si="15"/>
        <v>1682.0650000000001</v>
      </c>
      <c r="AM49" s="245">
        <f t="shared" si="15"/>
        <v>1682.0650000000001</v>
      </c>
      <c r="AN49" s="245">
        <f t="shared" si="15"/>
        <v>1682.0650000000001</v>
      </c>
      <c r="AO49" s="245">
        <f t="shared" si="15"/>
        <v>1682.0650000000001</v>
      </c>
      <c r="AP49" s="245">
        <f t="shared" si="15"/>
        <v>1682.0650000000001</v>
      </c>
      <c r="AQ49" s="245">
        <f t="shared" si="15"/>
        <v>1682.0650000000001</v>
      </c>
      <c r="AR49" s="245">
        <f t="shared" ref="AR49:BA49" si="16">AR10*(1-$G$34)</f>
        <v>1682.0650000000001</v>
      </c>
      <c r="AS49" s="245">
        <f t="shared" si="16"/>
        <v>1682.0650000000001</v>
      </c>
      <c r="AT49" s="245">
        <f t="shared" si="16"/>
        <v>1682.0650000000001</v>
      </c>
      <c r="AU49" s="245">
        <f t="shared" si="16"/>
        <v>1682.0650000000001</v>
      </c>
      <c r="AV49" s="245">
        <f t="shared" si="16"/>
        <v>1682.0650000000001</v>
      </c>
      <c r="AW49" s="245">
        <f t="shared" si="16"/>
        <v>1682.0650000000001</v>
      </c>
      <c r="AX49" s="245">
        <f t="shared" si="16"/>
        <v>1682.0650000000001</v>
      </c>
      <c r="AY49" s="245">
        <f t="shared" si="16"/>
        <v>1682.0650000000001</v>
      </c>
      <c r="AZ49" s="245">
        <f t="shared" si="16"/>
        <v>1682.0650000000001</v>
      </c>
      <c r="BA49" s="245">
        <f t="shared" si="16"/>
        <v>1682.0650000000001</v>
      </c>
      <c r="BB49" s="245">
        <f t="shared" ref="BB49:CI49" si="17">BB10*(1-$G$34)</f>
        <v>1682.0650000000001</v>
      </c>
      <c r="BC49" s="245">
        <f t="shared" si="17"/>
        <v>1682.0650000000001</v>
      </c>
      <c r="BD49" s="245">
        <f t="shared" si="17"/>
        <v>1682.0650000000001</v>
      </c>
      <c r="BE49" s="245">
        <f t="shared" si="17"/>
        <v>1682.0650000000001</v>
      </c>
      <c r="BF49" s="245">
        <f t="shared" si="17"/>
        <v>1682.0650000000001</v>
      </c>
      <c r="BG49" s="245">
        <f t="shared" si="17"/>
        <v>1682.0650000000001</v>
      </c>
      <c r="BH49" s="245">
        <f t="shared" si="17"/>
        <v>1682.0650000000001</v>
      </c>
      <c r="BI49" s="245">
        <f t="shared" si="17"/>
        <v>1682.0650000000001</v>
      </c>
      <c r="BJ49" s="245">
        <f t="shared" si="17"/>
        <v>1682.0650000000001</v>
      </c>
      <c r="BK49" s="245">
        <f t="shared" si="17"/>
        <v>1682.0650000000001</v>
      </c>
      <c r="BL49" s="245">
        <f t="shared" si="17"/>
        <v>1682.0650000000001</v>
      </c>
      <c r="BM49" s="245">
        <f t="shared" si="17"/>
        <v>1682.0650000000001</v>
      </c>
      <c r="BN49" s="245">
        <f t="shared" si="17"/>
        <v>1682.0650000000001</v>
      </c>
      <c r="BO49" s="245">
        <f t="shared" si="17"/>
        <v>1682.0650000000001</v>
      </c>
      <c r="BP49" s="245">
        <f t="shared" si="17"/>
        <v>1682.0650000000001</v>
      </c>
      <c r="BQ49" s="245">
        <f t="shared" si="17"/>
        <v>1682.0650000000001</v>
      </c>
      <c r="BR49" s="245">
        <f t="shared" si="17"/>
        <v>1682.0650000000001</v>
      </c>
      <c r="BS49" s="245">
        <f t="shared" si="17"/>
        <v>1682.0650000000001</v>
      </c>
      <c r="BT49" s="245">
        <f t="shared" si="17"/>
        <v>1682.0650000000001</v>
      </c>
      <c r="BU49" s="245">
        <f t="shared" si="17"/>
        <v>1682.0650000000001</v>
      </c>
      <c r="BV49" s="245">
        <f t="shared" si="17"/>
        <v>1682.0650000000001</v>
      </c>
      <c r="BW49" s="245">
        <f t="shared" si="17"/>
        <v>1682.0650000000001</v>
      </c>
      <c r="BX49" s="245">
        <f t="shared" si="17"/>
        <v>1682.0650000000001</v>
      </c>
      <c r="BY49" s="245">
        <f t="shared" si="17"/>
        <v>1682.0650000000001</v>
      </c>
      <c r="BZ49" s="245">
        <f t="shared" si="17"/>
        <v>1682.0650000000001</v>
      </c>
      <c r="CA49" s="245">
        <f t="shared" si="17"/>
        <v>1682.0650000000001</v>
      </c>
      <c r="CB49" s="245">
        <f t="shared" si="17"/>
        <v>1682.0650000000001</v>
      </c>
      <c r="CC49" s="245">
        <f t="shared" si="17"/>
        <v>1682.0650000000001</v>
      </c>
      <c r="CD49" s="245">
        <f t="shared" si="17"/>
        <v>1682.0650000000001</v>
      </c>
      <c r="CE49" s="245">
        <f t="shared" si="17"/>
        <v>1682.0650000000001</v>
      </c>
      <c r="CF49" s="245">
        <f t="shared" si="17"/>
        <v>1682.0650000000001</v>
      </c>
      <c r="CG49" s="245">
        <f t="shared" si="17"/>
        <v>1682.0650000000001</v>
      </c>
      <c r="CH49" s="245">
        <f t="shared" si="17"/>
        <v>1682.0650000000001</v>
      </c>
      <c r="CI49" s="245">
        <f t="shared" si="17"/>
        <v>1682.0650000000001</v>
      </c>
      <c r="CJ49"/>
      <c r="CK49"/>
    </row>
    <row r="50" spans="2:89">
      <c r="B50" s="44" t="s">
        <v>176</v>
      </c>
      <c r="D50" s="245">
        <f t="shared" ref="D50:AQ50" si="18">D11*(1-$H$34)</f>
        <v>2523.5650000000001</v>
      </c>
      <c r="E50" s="245">
        <f t="shared" si="18"/>
        <v>2523.5650000000001</v>
      </c>
      <c r="F50" s="245">
        <f t="shared" si="18"/>
        <v>2523.5650000000001</v>
      </c>
      <c r="G50" s="245">
        <f t="shared" si="18"/>
        <v>2523.5650000000001</v>
      </c>
      <c r="H50" s="245">
        <f t="shared" si="18"/>
        <v>2523.5650000000001</v>
      </c>
      <c r="I50" s="245">
        <f t="shared" si="18"/>
        <v>2523.5650000000001</v>
      </c>
      <c r="J50" s="245">
        <f t="shared" si="18"/>
        <v>2523.5650000000001</v>
      </c>
      <c r="K50" s="245">
        <f t="shared" si="18"/>
        <v>2523.5650000000001</v>
      </c>
      <c r="L50" s="245">
        <f t="shared" si="18"/>
        <v>2523.5650000000001</v>
      </c>
      <c r="M50" s="245">
        <f t="shared" si="18"/>
        <v>2523.5650000000001</v>
      </c>
      <c r="N50" s="245">
        <f t="shared" si="18"/>
        <v>2523.5650000000001</v>
      </c>
      <c r="O50" s="245">
        <f t="shared" si="18"/>
        <v>2523.5650000000001</v>
      </c>
      <c r="P50" s="245">
        <f t="shared" si="18"/>
        <v>2523.5650000000001</v>
      </c>
      <c r="Q50" s="363">
        <f t="shared" si="18"/>
        <v>2523.5650000000001</v>
      </c>
      <c r="R50" s="245">
        <f t="shared" si="18"/>
        <v>2523.5650000000001</v>
      </c>
      <c r="S50" s="245">
        <f t="shared" si="18"/>
        <v>2523.5650000000001</v>
      </c>
      <c r="T50" s="245">
        <f t="shared" si="18"/>
        <v>2523.5650000000001</v>
      </c>
      <c r="U50" s="245">
        <f t="shared" si="18"/>
        <v>2523.5650000000001</v>
      </c>
      <c r="V50" s="245">
        <f t="shared" si="18"/>
        <v>2523.5650000000001</v>
      </c>
      <c r="W50" s="245">
        <f t="shared" si="18"/>
        <v>2523.5650000000001</v>
      </c>
      <c r="X50" s="245">
        <f t="shared" si="18"/>
        <v>2523.5650000000001</v>
      </c>
      <c r="Y50" s="245">
        <f t="shared" si="18"/>
        <v>2523.5650000000001</v>
      </c>
      <c r="Z50" s="245">
        <f t="shared" si="18"/>
        <v>2523.5650000000001</v>
      </c>
      <c r="AA50" s="245">
        <f t="shared" si="18"/>
        <v>2523.5650000000001</v>
      </c>
      <c r="AB50" s="245">
        <f t="shared" si="18"/>
        <v>2523.5650000000001</v>
      </c>
      <c r="AC50" s="245">
        <f t="shared" si="18"/>
        <v>2523.5650000000001</v>
      </c>
      <c r="AD50" s="245">
        <f t="shared" si="18"/>
        <v>2523.5650000000001</v>
      </c>
      <c r="AE50" s="245">
        <f t="shared" si="18"/>
        <v>2523.5650000000001</v>
      </c>
      <c r="AF50" s="245">
        <f t="shared" si="18"/>
        <v>2523.5650000000001</v>
      </c>
      <c r="AG50" s="245">
        <f t="shared" si="18"/>
        <v>2523.5650000000001</v>
      </c>
      <c r="AH50" s="245">
        <f t="shared" si="18"/>
        <v>2523.5650000000001</v>
      </c>
      <c r="AI50" s="245">
        <f t="shared" si="18"/>
        <v>2523.5650000000001</v>
      </c>
      <c r="AJ50" s="245">
        <f t="shared" si="18"/>
        <v>2523.5650000000001</v>
      </c>
      <c r="AK50" s="245">
        <f t="shared" si="18"/>
        <v>2523.5650000000001</v>
      </c>
      <c r="AL50" s="245">
        <f t="shared" si="18"/>
        <v>2523.5650000000001</v>
      </c>
      <c r="AM50" s="245">
        <f t="shared" si="18"/>
        <v>2523.5650000000001</v>
      </c>
      <c r="AN50" s="245">
        <f t="shared" si="18"/>
        <v>2523.5650000000001</v>
      </c>
      <c r="AO50" s="245">
        <f t="shared" si="18"/>
        <v>2523.5650000000001</v>
      </c>
      <c r="AP50" s="245">
        <f t="shared" si="18"/>
        <v>2523.5650000000001</v>
      </c>
      <c r="AQ50" s="245">
        <f t="shared" si="18"/>
        <v>2523.5650000000001</v>
      </c>
      <c r="AR50" s="245">
        <f t="shared" ref="AR50:BA50" si="19">AR11*(1-$H$34)</f>
        <v>2523.5650000000001</v>
      </c>
      <c r="AS50" s="245">
        <f t="shared" si="19"/>
        <v>2523.5650000000001</v>
      </c>
      <c r="AT50" s="245">
        <f t="shared" si="19"/>
        <v>2523.5650000000001</v>
      </c>
      <c r="AU50" s="245">
        <f t="shared" si="19"/>
        <v>2523.5650000000001</v>
      </c>
      <c r="AV50" s="245">
        <f t="shared" si="19"/>
        <v>2523.5650000000001</v>
      </c>
      <c r="AW50" s="245">
        <f t="shared" si="19"/>
        <v>2523.5650000000001</v>
      </c>
      <c r="AX50" s="245">
        <f t="shared" si="19"/>
        <v>2523.5650000000001</v>
      </c>
      <c r="AY50" s="245">
        <f t="shared" si="19"/>
        <v>2523.5650000000001</v>
      </c>
      <c r="AZ50" s="245">
        <f t="shared" si="19"/>
        <v>2523.5650000000001</v>
      </c>
      <c r="BA50" s="245">
        <f t="shared" si="19"/>
        <v>2523.5650000000001</v>
      </c>
      <c r="BB50" s="245">
        <f t="shared" ref="BB50:CI50" si="20">BB11*(1-$H$34)</f>
        <v>2523.5650000000001</v>
      </c>
      <c r="BC50" s="245">
        <f t="shared" si="20"/>
        <v>2523.5650000000001</v>
      </c>
      <c r="BD50" s="245">
        <f t="shared" si="20"/>
        <v>2523.5650000000001</v>
      </c>
      <c r="BE50" s="245">
        <f t="shared" si="20"/>
        <v>2523.5650000000001</v>
      </c>
      <c r="BF50" s="245">
        <f t="shared" si="20"/>
        <v>2523.5650000000001</v>
      </c>
      <c r="BG50" s="245">
        <f t="shared" si="20"/>
        <v>2523.5650000000001</v>
      </c>
      <c r="BH50" s="245">
        <f t="shared" si="20"/>
        <v>2523.5650000000001</v>
      </c>
      <c r="BI50" s="245">
        <f t="shared" si="20"/>
        <v>2523.5650000000001</v>
      </c>
      <c r="BJ50" s="245">
        <f t="shared" si="20"/>
        <v>2523.5650000000001</v>
      </c>
      <c r="BK50" s="245">
        <f t="shared" si="20"/>
        <v>2523.5650000000001</v>
      </c>
      <c r="BL50" s="245">
        <f t="shared" si="20"/>
        <v>2523.5650000000001</v>
      </c>
      <c r="BM50" s="245">
        <f t="shared" si="20"/>
        <v>2523.5650000000001</v>
      </c>
      <c r="BN50" s="245">
        <f t="shared" si="20"/>
        <v>2523.5650000000001</v>
      </c>
      <c r="BO50" s="245">
        <f t="shared" si="20"/>
        <v>2523.5650000000001</v>
      </c>
      <c r="BP50" s="245">
        <f t="shared" si="20"/>
        <v>2523.5650000000001</v>
      </c>
      <c r="BQ50" s="245">
        <f t="shared" si="20"/>
        <v>2523.5650000000001</v>
      </c>
      <c r="BR50" s="245">
        <f t="shared" si="20"/>
        <v>2523.5650000000001</v>
      </c>
      <c r="BS50" s="245">
        <f t="shared" si="20"/>
        <v>2523.5650000000001</v>
      </c>
      <c r="BT50" s="245">
        <f t="shared" si="20"/>
        <v>2523.5650000000001</v>
      </c>
      <c r="BU50" s="245">
        <f t="shared" si="20"/>
        <v>2523.5650000000001</v>
      </c>
      <c r="BV50" s="245">
        <f t="shared" si="20"/>
        <v>2523.5650000000001</v>
      </c>
      <c r="BW50" s="245">
        <f t="shared" si="20"/>
        <v>2523.5650000000001</v>
      </c>
      <c r="BX50" s="245">
        <f t="shared" si="20"/>
        <v>2523.5650000000001</v>
      </c>
      <c r="BY50" s="245">
        <f t="shared" si="20"/>
        <v>2523.5650000000001</v>
      </c>
      <c r="BZ50" s="245">
        <f t="shared" si="20"/>
        <v>2523.5650000000001</v>
      </c>
      <c r="CA50" s="245">
        <f t="shared" si="20"/>
        <v>2523.5650000000001</v>
      </c>
      <c r="CB50" s="245">
        <f t="shared" si="20"/>
        <v>2523.5650000000001</v>
      </c>
      <c r="CC50" s="245">
        <f t="shared" si="20"/>
        <v>2523.5650000000001</v>
      </c>
      <c r="CD50" s="245">
        <f t="shared" si="20"/>
        <v>2523.5650000000001</v>
      </c>
      <c r="CE50" s="245">
        <f t="shared" si="20"/>
        <v>2523.5650000000001</v>
      </c>
      <c r="CF50" s="245">
        <f t="shared" si="20"/>
        <v>2523.5650000000001</v>
      </c>
      <c r="CG50" s="245">
        <f t="shared" si="20"/>
        <v>2523.5650000000001</v>
      </c>
      <c r="CH50" s="245">
        <f t="shared" si="20"/>
        <v>2523.5650000000001</v>
      </c>
      <c r="CI50" s="245">
        <f t="shared" si="20"/>
        <v>2523.5650000000001</v>
      </c>
      <c r="CJ50"/>
      <c r="CK50"/>
    </row>
    <row r="51" spans="2:89">
      <c r="B51" s="44" t="s">
        <v>177</v>
      </c>
      <c r="D51" s="245">
        <f t="shared" ref="D51:AQ51" si="21">D12*(1-$I$34)</f>
        <v>0</v>
      </c>
      <c r="E51" s="245">
        <f t="shared" si="21"/>
        <v>0</v>
      </c>
      <c r="F51" s="245">
        <f t="shared" si="21"/>
        <v>0</v>
      </c>
      <c r="G51" s="245">
        <f t="shared" si="21"/>
        <v>0</v>
      </c>
      <c r="H51" s="245">
        <f t="shared" si="21"/>
        <v>0</v>
      </c>
      <c r="I51" s="245">
        <f t="shared" si="21"/>
        <v>0</v>
      </c>
      <c r="J51" s="245">
        <f t="shared" si="21"/>
        <v>0</v>
      </c>
      <c r="K51" s="245">
        <f t="shared" si="21"/>
        <v>0</v>
      </c>
      <c r="L51" s="245">
        <f t="shared" si="21"/>
        <v>0</v>
      </c>
      <c r="M51" s="245">
        <f t="shared" si="21"/>
        <v>0</v>
      </c>
      <c r="N51" s="245">
        <f t="shared" si="21"/>
        <v>0</v>
      </c>
      <c r="O51" s="245">
        <f t="shared" si="21"/>
        <v>0</v>
      </c>
      <c r="P51" s="245">
        <f t="shared" si="21"/>
        <v>0</v>
      </c>
      <c r="Q51" s="363">
        <f t="shared" si="21"/>
        <v>0</v>
      </c>
      <c r="R51" s="245">
        <f t="shared" si="21"/>
        <v>0</v>
      </c>
      <c r="S51" s="245">
        <f t="shared" si="21"/>
        <v>0</v>
      </c>
      <c r="T51" s="245">
        <f t="shared" si="21"/>
        <v>0</v>
      </c>
      <c r="U51" s="245">
        <f t="shared" si="21"/>
        <v>0</v>
      </c>
      <c r="V51" s="245">
        <f t="shared" si="21"/>
        <v>0</v>
      </c>
      <c r="W51" s="245">
        <f t="shared" si="21"/>
        <v>0</v>
      </c>
      <c r="X51" s="245">
        <f t="shared" si="21"/>
        <v>0</v>
      </c>
      <c r="Y51" s="245">
        <f t="shared" si="21"/>
        <v>0</v>
      </c>
      <c r="Z51" s="245">
        <f t="shared" si="21"/>
        <v>0</v>
      </c>
      <c r="AA51" s="245">
        <f t="shared" si="21"/>
        <v>0</v>
      </c>
      <c r="AB51" s="245">
        <f t="shared" si="21"/>
        <v>0</v>
      </c>
      <c r="AC51" s="245">
        <f t="shared" si="21"/>
        <v>0</v>
      </c>
      <c r="AD51" s="245">
        <f t="shared" si="21"/>
        <v>0</v>
      </c>
      <c r="AE51" s="245">
        <f t="shared" si="21"/>
        <v>0</v>
      </c>
      <c r="AF51" s="245">
        <f t="shared" si="21"/>
        <v>0</v>
      </c>
      <c r="AG51" s="245">
        <f t="shared" si="21"/>
        <v>0</v>
      </c>
      <c r="AH51" s="245">
        <f t="shared" si="21"/>
        <v>0</v>
      </c>
      <c r="AI51" s="245">
        <f t="shared" si="21"/>
        <v>0</v>
      </c>
      <c r="AJ51" s="245">
        <f t="shared" si="21"/>
        <v>0</v>
      </c>
      <c r="AK51" s="245">
        <f t="shared" si="21"/>
        <v>0</v>
      </c>
      <c r="AL51" s="245">
        <f t="shared" si="21"/>
        <v>0</v>
      </c>
      <c r="AM51" s="245">
        <f t="shared" si="21"/>
        <v>0</v>
      </c>
      <c r="AN51" s="245">
        <f t="shared" si="21"/>
        <v>0</v>
      </c>
      <c r="AO51" s="245">
        <f t="shared" si="21"/>
        <v>0</v>
      </c>
      <c r="AP51" s="245">
        <f t="shared" si="21"/>
        <v>0</v>
      </c>
      <c r="AQ51" s="245">
        <f t="shared" si="21"/>
        <v>0</v>
      </c>
      <c r="AR51" s="245">
        <f t="shared" ref="AR51:BA51" si="22">AR12*(1-$I$34)</f>
        <v>0</v>
      </c>
      <c r="AS51" s="245">
        <f t="shared" si="22"/>
        <v>0</v>
      </c>
      <c r="AT51" s="245">
        <f t="shared" si="22"/>
        <v>0</v>
      </c>
      <c r="AU51" s="245">
        <f t="shared" si="22"/>
        <v>0</v>
      </c>
      <c r="AV51" s="245">
        <f t="shared" si="22"/>
        <v>0</v>
      </c>
      <c r="AW51" s="245">
        <f t="shared" si="22"/>
        <v>0</v>
      </c>
      <c r="AX51" s="245">
        <f t="shared" si="22"/>
        <v>0</v>
      </c>
      <c r="AY51" s="245">
        <f t="shared" si="22"/>
        <v>0</v>
      </c>
      <c r="AZ51" s="245">
        <f t="shared" si="22"/>
        <v>0</v>
      </c>
      <c r="BA51" s="245">
        <f t="shared" si="22"/>
        <v>0</v>
      </c>
      <c r="BB51" s="245">
        <f t="shared" ref="BB51:CI51" si="23">BB12*(1-$I$34)</f>
        <v>0</v>
      </c>
      <c r="BC51" s="245">
        <f t="shared" si="23"/>
        <v>0</v>
      </c>
      <c r="BD51" s="245">
        <f t="shared" si="23"/>
        <v>0</v>
      </c>
      <c r="BE51" s="245">
        <f t="shared" si="23"/>
        <v>0</v>
      </c>
      <c r="BF51" s="245">
        <f t="shared" si="23"/>
        <v>0</v>
      </c>
      <c r="BG51" s="245">
        <f t="shared" si="23"/>
        <v>0</v>
      </c>
      <c r="BH51" s="245">
        <f t="shared" si="23"/>
        <v>0</v>
      </c>
      <c r="BI51" s="245">
        <f t="shared" si="23"/>
        <v>0</v>
      </c>
      <c r="BJ51" s="245">
        <f t="shared" si="23"/>
        <v>0</v>
      </c>
      <c r="BK51" s="245">
        <f t="shared" si="23"/>
        <v>0</v>
      </c>
      <c r="BL51" s="245">
        <f t="shared" si="23"/>
        <v>0</v>
      </c>
      <c r="BM51" s="245">
        <f t="shared" si="23"/>
        <v>0</v>
      </c>
      <c r="BN51" s="245">
        <f t="shared" si="23"/>
        <v>0</v>
      </c>
      <c r="BO51" s="245">
        <f t="shared" si="23"/>
        <v>0</v>
      </c>
      <c r="BP51" s="245">
        <f t="shared" si="23"/>
        <v>0</v>
      </c>
      <c r="BQ51" s="245">
        <f t="shared" si="23"/>
        <v>0</v>
      </c>
      <c r="BR51" s="245">
        <f t="shared" si="23"/>
        <v>0</v>
      </c>
      <c r="BS51" s="245">
        <f t="shared" si="23"/>
        <v>0</v>
      </c>
      <c r="BT51" s="245">
        <f t="shared" si="23"/>
        <v>0</v>
      </c>
      <c r="BU51" s="245">
        <f t="shared" si="23"/>
        <v>0</v>
      </c>
      <c r="BV51" s="245">
        <f t="shared" si="23"/>
        <v>0</v>
      </c>
      <c r="BW51" s="245">
        <f t="shared" si="23"/>
        <v>0</v>
      </c>
      <c r="BX51" s="245">
        <f t="shared" si="23"/>
        <v>0</v>
      </c>
      <c r="BY51" s="245">
        <f t="shared" si="23"/>
        <v>0</v>
      </c>
      <c r="BZ51" s="245">
        <f t="shared" si="23"/>
        <v>0</v>
      </c>
      <c r="CA51" s="245">
        <f t="shared" si="23"/>
        <v>0</v>
      </c>
      <c r="CB51" s="245">
        <f t="shared" si="23"/>
        <v>0</v>
      </c>
      <c r="CC51" s="245">
        <f t="shared" si="23"/>
        <v>0</v>
      </c>
      <c r="CD51" s="245">
        <f t="shared" si="23"/>
        <v>0</v>
      </c>
      <c r="CE51" s="245">
        <f t="shared" si="23"/>
        <v>0</v>
      </c>
      <c r="CF51" s="245">
        <f t="shared" si="23"/>
        <v>0</v>
      </c>
      <c r="CG51" s="245">
        <f t="shared" si="23"/>
        <v>0</v>
      </c>
      <c r="CH51" s="245">
        <f t="shared" si="23"/>
        <v>0</v>
      </c>
      <c r="CI51" s="245">
        <f t="shared" si="23"/>
        <v>0</v>
      </c>
      <c r="CJ51"/>
      <c r="CK51"/>
    </row>
    <row r="52" spans="2:89">
      <c r="B52" s="98" t="s">
        <v>50</v>
      </c>
      <c r="D52" s="245">
        <f t="shared" ref="D52:AQ52" si="24">D13*(1-$J$34)</f>
        <v>0</v>
      </c>
      <c r="E52" s="245">
        <f t="shared" si="24"/>
        <v>0</v>
      </c>
      <c r="F52" s="245">
        <f t="shared" si="24"/>
        <v>0</v>
      </c>
      <c r="G52" s="245">
        <f t="shared" si="24"/>
        <v>0</v>
      </c>
      <c r="H52" s="245">
        <f t="shared" si="24"/>
        <v>0</v>
      </c>
      <c r="I52" s="245">
        <f t="shared" si="24"/>
        <v>0</v>
      </c>
      <c r="J52" s="245">
        <f t="shared" si="24"/>
        <v>0</v>
      </c>
      <c r="K52" s="245">
        <f t="shared" si="24"/>
        <v>0</v>
      </c>
      <c r="L52" s="245">
        <f t="shared" si="24"/>
        <v>0</v>
      </c>
      <c r="M52" s="245">
        <f t="shared" si="24"/>
        <v>0</v>
      </c>
      <c r="N52" s="245">
        <f t="shared" si="24"/>
        <v>0</v>
      </c>
      <c r="O52" s="245">
        <f t="shared" si="24"/>
        <v>0</v>
      </c>
      <c r="P52" s="245">
        <f t="shared" si="24"/>
        <v>0</v>
      </c>
      <c r="Q52" s="363">
        <f t="shared" si="24"/>
        <v>0</v>
      </c>
      <c r="R52" s="245">
        <f t="shared" si="24"/>
        <v>0</v>
      </c>
      <c r="S52" s="245">
        <f t="shared" si="24"/>
        <v>0</v>
      </c>
      <c r="T52" s="245">
        <f t="shared" si="24"/>
        <v>0</v>
      </c>
      <c r="U52" s="245">
        <f t="shared" si="24"/>
        <v>0</v>
      </c>
      <c r="V52" s="245">
        <f t="shared" si="24"/>
        <v>0</v>
      </c>
      <c r="W52" s="245">
        <f t="shared" si="24"/>
        <v>0</v>
      </c>
      <c r="X52" s="245">
        <f t="shared" si="24"/>
        <v>0</v>
      </c>
      <c r="Y52" s="245">
        <f t="shared" si="24"/>
        <v>0</v>
      </c>
      <c r="Z52" s="245">
        <f t="shared" si="24"/>
        <v>0</v>
      </c>
      <c r="AA52" s="245">
        <f t="shared" si="24"/>
        <v>0</v>
      </c>
      <c r="AB52" s="245">
        <f t="shared" si="24"/>
        <v>0</v>
      </c>
      <c r="AC52" s="245">
        <f t="shared" si="24"/>
        <v>0</v>
      </c>
      <c r="AD52" s="245">
        <f t="shared" si="24"/>
        <v>0</v>
      </c>
      <c r="AE52" s="245">
        <f t="shared" si="24"/>
        <v>0</v>
      </c>
      <c r="AF52" s="245">
        <f t="shared" si="24"/>
        <v>0</v>
      </c>
      <c r="AG52" s="245">
        <f t="shared" si="24"/>
        <v>0</v>
      </c>
      <c r="AH52" s="245">
        <f t="shared" si="24"/>
        <v>0</v>
      </c>
      <c r="AI52" s="245">
        <f t="shared" si="24"/>
        <v>0</v>
      </c>
      <c r="AJ52" s="245">
        <f t="shared" si="24"/>
        <v>0</v>
      </c>
      <c r="AK52" s="245">
        <f t="shared" si="24"/>
        <v>0</v>
      </c>
      <c r="AL52" s="245">
        <f t="shared" si="24"/>
        <v>0</v>
      </c>
      <c r="AM52" s="245">
        <f t="shared" si="24"/>
        <v>0</v>
      </c>
      <c r="AN52" s="245">
        <f t="shared" si="24"/>
        <v>0</v>
      </c>
      <c r="AO52" s="245">
        <f t="shared" si="24"/>
        <v>0</v>
      </c>
      <c r="AP52" s="245">
        <f t="shared" si="24"/>
        <v>0</v>
      </c>
      <c r="AQ52" s="245">
        <f t="shared" si="24"/>
        <v>0</v>
      </c>
      <c r="AR52" s="245">
        <f t="shared" ref="AR52:BA52" si="25">AR13*(1-$J$34)</f>
        <v>0</v>
      </c>
      <c r="AS52" s="245">
        <f t="shared" si="25"/>
        <v>0</v>
      </c>
      <c r="AT52" s="245">
        <f t="shared" si="25"/>
        <v>0</v>
      </c>
      <c r="AU52" s="245">
        <f t="shared" si="25"/>
        <v>0</v>
      </c>
      <c r="AV52" s="245">
        <f t="shared" si="25"/>
        <v>0</v>
      </c>
      <c r="AW52" s="245">
        <f t="shared" si="25"/>
        <v>0</v>
      </c>
      <c r="AX52" s="245">
        <f t="shared" si="25"/>
        <v>0</v>
      </c>
      <c r="AY52" s="245">
        <f t="shared" si="25"/>
        <v>0</v>
      </c>
      <c r="AZ52" s="245">
        <f t="shared" si="25"/>
        <v>0</v>
      </c>
      <c r="BA52" s="245">
        <f t="shared" si="25"/>
        <v>0</v>
      </c>
      <c r="BB52" s="245">
        <f t="shared" ref="BB52:CI52" si="26">BB13*(1-$J$34)</f>
        <v>0</v>
      </c>
      <c r="BC52" s="245">
        <f t="shared" si="26"/>
        <v>0</v>
      </c>
      <c r="BD52" s="245">
        <f t="shared" si="26"/>
        <v>0</v>
      </c>
      <c r="BE52" s="245">
        <f t="shared" si="26"/>
        <v>0</v>
      </c>
      <c r="BF52" s="245">
        <f t="shared" si="26"/>
        <v>0</v>
      </c>
      <c r="BG52" s="245">
        <f t="shared" si="26"/>
        <v>0</v>
      </c>
      <c r="BH52" s="245">
        <f t="shared" si="26"/>
        <v>0</v>
      </c>
      <c r="BI52" s="245">
        <f t="shared" si="26"/>
        <v>0</v>
      </c>
      <c r="BJ52" s="245">
        <f t="shared" si="26"/>
        <v>0</v>
      </c>
      <c r="BK52" s="245">
        <f t="shared" si="26"/>
        <v>0</v>
      </c>
      <c r="BL52" s="245">
        <f t="shared" si="26"/>
        <v>0</v>
      </c>
      <c r="BM52" s="245">
        <f t="shared" si="26"/>
        <v>0</v>
      </c>
      <c r="BN52" s="245">
        <f t="shared" si="26"/>
        <v>0</v>
      </c>
      <c r="BO52" s="245">
        <f t="shared" si="26"/>
        <v>0</v>
      </c>
      <c r="BP52" s="245">
        <f t="shared" si="26"/>
        <v>0</v>
      </c>
      <c r="BQ52" s="245">
        <f t="shared" si="26"/>
        <v>0</v>
      </c>
      <c r="BR52" s="245">
        <f t="shared" si="26"/>
        <v>0</v>
      </c>
      <c r="BS52" s="245">
        <f t="shared" si="26"/>
        <v>0</v>
      </c>
      <c r="BT52" s="245">
        <f t="shared" si="26"/>
        <v>0</v>
      </c>
      <c r="BU52" s="245">
        <f t="shared" si="26"/>
        <v>0</v>
      </c>
      <c r="BV52" s="245">
        <f t="shared" si="26"/>
        <v>0</v>
      </c>
      <c r="BW52" s="245">
        <f t="shared" si="26"/>
        <v>0</v>
      </c>
      <c r="BX52" s="245">
        <f t="shared" si="26"/>
        <v>0</v>
      </c>
      <c r="BY52" s="245">
        <f t="shared" si="26"/>
        <v>0</v>
      </c>
      <c r="BZ52" s="245">
        <f t="shared" si="26"/>
        <v>0</v>
      </c>
      <c r="CA52" s="245">
        <f t="shared" si="26"/>
        <v>0</v>
      </c>
      <c r="CB52" s="245">
        <f t="shared" si="26"/>
        <v>0</v>
      </c>
      <c r="CC52" s="245">
        <f t="shared" si="26"/>
        <v>0</v>
      </c>
      <c r="CD52" s="245">
        <f t="shared" si="26"/>
        <v>0</v>
      </c>
      <c r="CE52" s="245">
        <f t="shared" si="26"/>
        <v>0</v>
      </c>
      <c r="CF52" s="245">
        <f t="shared" si="26"/>
        <v>0</v>
      </c>
      <c r="CG52" s="245">
        <f t="shared" si="26"/>
        <v>0</v>
      </c>
      <c r="CH52" s="245">
        <f t="shared" si="26"/>
        <v>0</v>
      </c>
      <c r="CI52" s="245">
        <f t="shared" si="26"/>
        <v>0</v>
      </c>
      <c r="CJ52"/>
      <c r="CK52"/>
    </row>
    <row r="53" spans="2:89">
      <c r="B53" s="44" t="s">
        <v>237</v>
      </c>
      <c r="D53" s="245">
        <f t="shared" ref="D53:AQ53" si="27">D14*(1-$K$34)</f>
        <v>1132.3333333333335</v>
      </c>
      <c r="E53" s="245">
        <f t="shared" si="27"/>
        <v>1132.3333333333335</v>
      </c>
      <c r="F53" s="245">
        <f t="shared" si="27"/>
        <v>1132.3333333333335</v>
      </c>
      <c r="G53" s="245">
        <f t="shared" si="27"/>
        <v>1132.3333333333335</v>
      </c>
      <c r="H53" s="245">
        <f t="shared" si="27"/>
        <v>1132.3333333333335</v>
      </c>
      <c r="I53" s="245">
        <f t="shared" si="27"/>
        <v>1132.3333333333335</v>
      </c>
      <c r="J53" s="245">
        <f t="shared" si="27"/>
        <v>1132.3333333333335</v>
      </c>
      <c r="K53" s="245">
        <f t="shared" si="27"/>
        <v>1132.3333333333335</v>
      </c>
      <c r="L53" s="245">
        <f t="shared" si="27"/>
        <v>1132.3333333333335</v>
      </c>
      <c r="M53" s="245">
        <f t="shared" si="27"/>
        <v>1132.3333333333335</v>
      </c>
      <c r="N53" s="245">
        <f t="shared" si="27"/>
        <v>1132.3333333333335</v>
      </c>
      <c r="O53" s="245">
        <f t="shared" si="27"/>
        <v>1132.3333333333335</v>
      </c>
      <c r="P53" s="245">
        <f t="shared" si="27"/>
        <v>1132.3333333333335</v>
      </c>
      <c r="Q53" s="363">
        <f t="shared" si="27"/>
        <v>1132.3333333333335</v>
      </c>
      <c r="R53" s="245">
        <f t="shared" si="27"/>
        <v>1132.3333333333335</v>
      </c>
      <c r="S53" s="245">
        <f t="shared" si="27"/>
        <v>1132.3333333333335</v>
      </c>
      <c r="T53" s="245">
        <f t="shared" si="27"/>
        <v>1132.3333333333335</v>
      </c>
      <c r="U53" s="245">
        <f t="shared" si="27"/>
        <v>1132.3333333333335</v>
      </c>
      <c r="V53" s="245">
        <f t="shared" si="27"/>
        <v>1132.3333333333335</v>
      </c>
      <c r="W53" s="245">
        <f t="shared" si="27"/>
        <v>1132.3333333333335</v>
      </c>
      <c r="X53" s="245">
        <f t="shared" si="27"/>
        <v>1132.3333333333335</v>
      </c>
      <c r="Y53" s="245">
        <f t="shared" si="27"/>
        <v>1132.3333333333335</v>
      </c>
      <c r="Z53" s="245">
        <f t="shared" si="27"/>
        <v>1132.3333333333335</v>
      </c>
      <c r="AA53" s="245">
        <f t="shared" si="27"/>
        <v>1132.3333333333335</v>
      </c>
      <c r="AB53" s="245">
        <f t="shared" si="27"/>
        <v>1132.3333333333335</v>
      </c>
      <c r="AC53" s="245">
        <f t="shared" si="27"/>
        <v>1132.3333333333335</v>
      </c>
      <c r="AD53" s="245">
        <f t="shared" si="27"/>
        <v>1132.3333333333335</v>
      </c>
      <c r="AE53" s="245">
        <f t="shared" si="27"/>
        <v>1132.3333333333335</v>
      </c>
      <c r="AF53" s="245">
        <f t="shared" si="27"/>
        <v>1132.3333333333335</v>
      </c>
      <c r="AG53" s="245">
        <f t="shared" si="27"/>
        <v>1132.3333333333335</v>
      </c>
      <c r="AH53" s="245">
        <f t="shared" si="27"/>
        <v>1132.3333333333335</v>
      </c>
      <c r="AI53" s="245">
        <f t="shared" si="27"/>
        <v>1132.3333333333335</v>
      </c>
      <c r="AJ53" s="245">
        <f t="shared" si="27"/>
        <v>1132.3333333333335</v>
      </c>
      <c r="AK53" s="245">
        <f t="shared" si="27"/>
        <v>1132.3333333333335</v>
      </c>
      <c r="AL53" s="245">
        <f t="shared" si="27"/>
        <v>1132.3333333333335</v>
      </c>
      <c r="AM53" s="245">
        <f t="shared" si="27"/>
        <v>1132.3333333333335</v>
      </c>
      <c r="AN53" s="245">
        <f t="shared" si="27"/>
        <v>1132.3333333333335</v>
      </c>
      <c r="AO53" s="245">
        <f t="shared" si="27"/>
        <v>1132.3333333333335</v>
      </c>
      <c r="AP53" s="245">
        <f t="shared" si="27"/>
        <v>1132.3333333333335</v>
      </c>
      <c r="AQ53" s="245">
        <f t="shared" si="27"/>
        <v>1132.3333333333335</v>
      </c>
      <c r="AR53" s="245">
        <f t="shared" ref="AR53:BA53" si="28">AR14*(1-$K$34)</f>
        <v>1132.3333333333335</v>
      </c>
      <c r="AS53" s="245">
        <f t="shared" si="28"/>
        <v>1132.3333333333335</v>
      </c>
      <c r="AT53" s="245">
        <f t="shared" si="28"/>
        <v>1132.3333333333335</v>
      </c>
      <c r="AU53" s="245">
        <f t="shared" si="28"/>
        <v>1132.3333333333335</v>
      </c>
      <c r="AV53" s="245">
        <f t="shared" si="28"/>
        <v>1132.3333333333335</v>
      </c>
      <c r="AW53" s="245">
        <f t="shared" si="28"/>
        <v>1132.3333333333335</v>
      </c>
      <c r="AX53" s="245">
        <f t="shared" si="28"/>
        <v>1132.3333333333335</v>
      </c>
      <c r="AY53" s="245">
        <f t="shared" si="28"/>
        <v>1132.3333333333335</v>
      </c>
      <c r="AZ53" s="245">
        <f t="shared" si="28"/>
        <v>1132.3333333333335</v>
      </c>
      <c r="BA53" s="245">
        <f t="shared" si="28"/>
        <v>1132.3333333333335</v>
      </c>
      <c r="BB53" s="245">
        <f t="shared" ref="BB53:CI53" si="29">BB14*(1-$K$34)</f>
        <v>1132.3333333333335</v>
      </c>
      <c r="BC53" s="245">
        <f t="shared" si="29"/>
        <v>1132.3333333333335</v>
      </c>
      <c r="BD53" s="245">
        <f t="shared" si="29"/>
        <v>1132.3333333333335</v>
      </c>
      <c r="BE53" s="245">
        <f t="shared" si="29"/>
        <v>1132.3333333333335</v>
      </c>
      <c r="BF53" s="245">
        <f t="shared" si="29"/>
        <v>1132.3333333333335</v>
      </c>
      <c r="BG53" s="245">
        <f t="shared" si="29"/>
        <v>1132.3333333333335</v>
      </c>
      <c r="BH53" s="245">
        <f t="shared" si="29"/>
        <v>1132.3333333333335</v>
      </c>
      <c r="BI53" s="245">
        <f t="shared" si="29"/>
        <v>1132.3333333333335</v>
      </c>
      <c r="BJ53" s="245">
        <f t="shared" si="29"/>
        <v>1132.3333333333335</v>
      </c>
      <c r="BK53" s="245">
        <f t="shared" si="29"/>
        <v>1132.3333333333335</v>
      </c>
      <c r="BL53" s="245">
        <f t="shared" si="29"/>
        <v>1132.3333333333335</v>
      </c>
      <c r="BM53" s="245">
        <f t="shared" si="29"/>
        <v>1132.3333333333335</v>
      </c>
      <c r="BN53" s="245">
        <f t="shared" si="29"/>
        <v>1132.3333333333335</v>
      </c>
      <c r="BO53" s="245">
        <f t="shared" si="29"/>
        <v>1132.3333333333335</v>
      </c>
      <c r="BP53" s="245">
        <f t="shared" si="29"/>
        <v>1132.3333333333335</v>
      </c>
      <c r="BQ53" s="245">
        <f t="shared" si="29"/>
        <v>1132.3333333333335</v>
      </c>
      <c r="BR53" s="245">
        <f t="shared" si="29"/>
        <v>1132.3333333333335</v>
      </c>
      <c r="BS53" s="245">
        <f t="shared" si="29"/>
        <v>1132.3333333333335</v>
      </c>
      <c r="BT53" s="245">
        <f t="shared" si="29"/>
        <v>1132.3333333333335</v>
      </c>
      <c r="BU53" s="245">
        <f t="shared" si="29"/>
        <v>1132.3333333333335</v>
      </c>
      <c r="BV53" s="245">
        <f t="shared" si="29"/>
        <v>1132.3333333333335</v>
      </c>
      <c r="BW53" s="245">
        <f t="shared" si="29"/>
        <v>1132.3333333333335</v>
      </c>
      <c r="BX53" s="245">
        <f t="shared" si="29"/>
        <v>1132.3333333333335</v>
      </c>
      <c r="BY53" s="245">
        <f t="shared" si="29"/>
        <v>1132.3333333333335</v>
      </c>
      <c r="BZ53" s="245">
        <f t="shared" si="29"/>
        <v>1132.3333333333335</v>
      </c>
      <c r="CA53" s="245">
        <f t="shared" si="29"/>
        <v>1132.3333333333335</v>
      </c>
      <c r="CB53" s="245">
        <f t="shared" si="29"/>
        <v>1132.3333333333335</v>
      </c>
      <c r="CC53" s="245">
        <f t="shared" si="29"/>
        <v>1132.3333333333335</v>
      </c>
      <c r="CD53" s="245">
        <f t="shared" si="29"/>
        <v>1132.3333333333335</v>
      </c>
      <c r="CE53" s="245">
        <f t="shared" si="29"/>
        <v>1132.3333333333335</v>
      </c>
      <c r="CF53" s="245">
        <f t="shared" si="29"/>
        <v>1132.3333333333335</v>
      </c>
      <c r="CG53" s="245">
        <f t="shared" si="29"/>
        <v>1132.3333333333335</v>
      </c>
      <c r="CH53" s="245">
        <f t="shared" si="29"/>
        <v>1132.3333333333335</v>
      </c>
      <c r="CI53" s="245">
        <f t="shared" si="29"/>
        <v>1132.3333333333335</v>
      </c>
      <c r="CJ53"/>
      <c r="CK53"/>
    </row>
    <row r="54" spans="2:89">
      <c r="B54" s="44" t="s">
        <v>51</v>
      </c>
      <c r="D54" s="245">
        <f t="shared" ref="D54:AQ54" si="30">D15*(1-$L$34)</f>
        <v>1962.846153846154</v>
      </c>
      <c r="E54" s="245">
        <f t="shared" si="30"/>
        <v>1962.846153846154</v>
      </c>
      <c r="F54" s="245">
        <f t="shared" si="30"/>
        <v>1962.846153846154</v>
      </c>
      <c r="G54" s="245">
        <f t="shared" si="30"/>
        <v>1962.846153846154</v>
      </c>
      <c r="H54" s="245">
        <f t="shared" si="30"/>
        <v>1962.846153846154</v>
      </c>
      <c r="I54" s="245">
        <f t="shared" si="30"/>
        <v>1962.846153846154</v>
      </c>
      <c r="J54" s="245">
        <f t="shared" si="30"/>
        <v>1962.846153846154</v>
      </c>
      <c r="K54" s="245">
        <f t="shared" si="30"/>
        <v>1962.846153846154</v>
      </c>
      <c r="L54" s="245">
        <f t="shared" si="30"/>
        <v>1962.846153846154</v>
      </c>
      <c r="M54" s="245">
        <f t="shared" si="30"/>
        <v>1962.846153846154</v>
      </c>
      <c r="N54" s="245">
        <f t="shared" si="30"/>
        <v>1962.846153846154</v>
      </c>
      <c r="O54" s="245">
        <f t="shared" si="30"/>
        <v>1962.846153846154</v>
      </c>
      <c r="P54" s="245">
        <f t="shared" si="30"/>
        <v>1962.846153846154</v>
      </c>
      <c r="Q54" s="363">
        <f t="shared" si="30"/>
        <v>1962.846153846154</v>
      </c>
      <c r="R54" s="245">
        <f t="shared" si="30"/>
        <v>1962.846153846154</v>
      </c>
      <c r="S54" s="245">
        <f t="shared" si="30"/>
        <v>1962.846153846154</v>
      </c>
      <c r="T54" s="245">
        <f t="shared" si="30"/>
        <v>1962.846153846154</v>
      </c>
      <c r="U54" s="245">
        <f t="shared" si="30"/>
        <v>1962.846153846154</v>
      </c>
      <c r="V54" s="245">
        <f t="shared" si="30"/>
        <v>1962.846153846154</v>
      </c>
      <c r="W54" s="245">
        <f t="shared" si="30"/>
        <v>1962.846153846154</v>
      </c>
      <c r="X54" s="245">
        <f t="shared" si="30"/>
        <v>1962.846153846154</v>
      </c>
      <c r="Y54" s="245">
        <f t="shared" si="30"/>
        <v>1962.846153846154</v>
      </c>
      <c r="Z54" s="245">
        <f t="shared" si="30"/>
        <v>1962.846153846154</v>
      </c>
      <c r="AA54" s="245">
        <f t="shared" si="30"/>
        <v>1962.846153846154</v>
      </c>
      <c r="AB54" s="245">
        <f t="shared" si="30"/>
        <v>1962.846153846154</v>
      </c>
      <c r="AC54" s="245">
        <f t="shared" si="30"/>
        <v>1962.846153846154</v>
      </c>
      <c r="AD54" s="245">
        <f t="shared" si="30"/>
        <v>1962.846153846154</v>
      </c>
      <c r="AE54" s="245">
        <f t="shared" si="30"/>
        <v>1962.846153846154</v>
      </c>
      <c r="AF54" s="245">
        <f t="shared" si="30"/>
        <v>1962.846153846154</v>
      </c>
      <c r="AG54" s="245">
        <f t="shared" si="30"/>
        <v>1962.846153846154</v>
      </c>
      <c r="AH54" s="245">
        <f t="shared" si="30"/>
        <v>1962.846153846154</v>
      </c>
      <c r="AI54" s="245">
        <f t="shared" si="30"/>
        <v>1962.846153846154</v>
      </c>
      <c r="AJ54" s="245">
        <f t="shared" si="30"/>
        <v>1962.846153846154</v>
      </c>
      <c r="AK54" s="245">
        <f t="shared" si="30"/>
        <v>1962.846153846154</v>
      </c>
      <c r="AL54" s="245">
        <f t="shared" si="30"/>
        <v>1962.846153846154</v>
      </c>
      <c r="AM54" s="245">
        <f t="shared" si="30"/>
        <v>1962.846153846154</v>
      </c>
      <c r="AN54" s="245">
        <f t="shared" si="30"/>
        <v>1962.846153846154</v>
      </c>
      <c r="AO54" s="245">
        <f t="shared" si="30"/>
        <v>1962.846153846154</v>
      </c>
      <c r="AP54" s="245">
        <f t="shared" si="30"/>
        <v>1962.846153846154</v>
      </c>
      <c r="AQ54" s="245">
        <f t="shared" si="30"/>
        <v>1962.846153846154</v>
      </c>
      <c r="AR54" s="245">
        <f t="shared" ref="AR54:BA54" si="31">AR15*(1-$L$34)</f>
        <v>1962.846153846154</v>
      </c>
      <c r="AS54" s="245">
        <f t="shared" si="31"/>
        <v>1962.846153846154</v>
      </c>
      <c r="AT54" s="245">
        <f t="shared" si="31"/>
        <v>1962.846153846154</v>
      </c>
      <c r="AU54" s="245">
        <f t="shared" si="31"/>
        <v>1962.846153846154</v>
      </c>
      <c r="AV54" s="245">
        <f t="shared" si="31"/>
        <v>1962.846153846154</v>
      </c>
      <c r="AW54" s="245">
        <f t="shared" si="31"/>
        <v>1962.846153846154</v>
      </c>
      <c r="AX54" s="245">
        <f t="shared" si="31"/>
        <v>1962.846153846154</v>
      </c>
      <c r="AY54" s="245">
        <f t="shared" si="31"/>
        <v>1962.846153846154</v>
      </c>
      <c r="AZ54" s="245">
        <f t="shared" si="31"/>
        <v>1962.846153846154</v>
      </c>
      <c r="BA54" s="245">
        <f t="shared" si="31"/>
        <v>1962.846153846154</v>
      </c>
      <c r="BB54" s="245">
        <f t="shared" ref="BB54:CI54" si="32">BB15*(1-$L$34)</f>
        <v>1962.846153846154</v>
      </c>
      <c r="BC54" s="245">
        <f t="shared" si="32"/>
        <v>1962.846153846154</v>
      </c>
      <c r="BD54" s="245">
        <f t="shared" si="32"/>
        <v>1962.846153846154</v>
      </c>
      <c r="BE54" s="245">
        <f t="shared" si="32"/>
        <v>1962.846153846154</v>
      </c>
      <c r="BF54" s="245">
        <f t="shared" si="32"/>
        <v>1962.846153846154</v>
      </c>
      <c r="BG54" s="245">
        <f t="shared" si="32"/>
        <v>1962.846153846154</v>
      </c>
      <c r="BH54" s="245">
        <f t="shared" si="32"/>
        <v>1962.846153846154</v>
      </c>
      <c r="BI54" s="245">
        <f t="shared" si="32"/>
        <v>1962.846153846154</v>
      </c>
      <c r="BJ54" s="245">
        <f t="shared" si="32"/>
        <v>1962.846153846154</v>
      </c>
      <c r="BK54" s="245">
        <f t="shared" si="32"/>
        <v>1962.846153846154</v>
      </c>
      <c r="BL54" s="245">
        <f t="shared" si="32"/>
        <v>1962.846153846154</v>
      </c>
      <c r="BM54" s="245">
        <f t="shared" si="32"/>
        <v>1962.846153846154</v>
      </c>
      <c r="BN54" s="245">
        <f t="shared" si="32"/>
        <v>1962.846153846154</v>
      </c>
      <c r="BO54" s="245">
        <f t="shared" si="32"/>
        <v>1962.846153846154</v>
      </c>
      <c r="BP54" s="245">
        <f t="shared" si="32"/>
        <v>1962.846153846154</v>
      </c>
      <c r="BQ54" s="245">
        <f t="shared" si="32"/>
        <v>1962.846153846154</v>
      </c>
      <c r="BR54" s="245">
        <f t="shared" si="32"/>
        <v>1962.846153846154</v>
      </c>
      <c r="BS54" s="245">
        <f t="shared" si="32"/>
        <v>1962.846153846154</v>
      </c>
      <c r="BT54" s="245">
        <f t="shared" si="32"/>
        <v>1962.846153846154</v>
      </c>
      <c r="BU54" s="245">
        <f t="shared" si="32"/>
        <v>1962.846153846154</v>
      </c>
      <c r="BV54" s="245">
        <f t="shared" si="32"/>
        <v>1962.846153846154</v>
      </c>
      <c r="BW54" s="245">
        <f t="shared" si="32"/>
        <v>1962.846153846154</v>
      </c>
      <c r="BX54" s="245">
        <f t="shared" si="32"/>
        <v>1962.846153846154</v>
      </c>
      <c r="BY54" s="245">
        <f t="shared" si="32"/>
        <v>1962.846153846154</v>
      </c>
      <c r="BZ54" s="245">
        <f t="shared" si="32"/>
        <v>1962.846153846154</v>
      </c>
      <c r="CA54" s="245">
        <f t="shared" si="32"/>
        <v>1962.846153846154</v>
      </c>
      <c r="CB54" s="245">
        <f t="shared" si="32"/>
        <v>1962.846153846154</v>
      </c>
      <c r="CC54" s="245">
        <f t="shared" si="32"/>
        <v>1962.846153846154</v>
      </c>
      <c r="CD54" s="245">
        <f t="shared" si="32"/>
        <v>1962.846153846154</v>
      </c>
      <c r="CE54" s="245">
        <f t="shared" si="32"/>
        <v>1962.846153846154</v>
      </c>
      <c r="CF54" s="245">
        <f t="shared" si="32"/>
        <v>1962.846153846154</v>
      </c>
      <c r="CG54" s="245">
        <f t="shared" si="32"/>
        <v>1962.846153846154</v>
      </c>
      <c r="CH54" s="245">
        <f t="shared" si="32"/>
        <v>1962.846153846154</v>
      </c>
      <c r="CI54" s="245">
        <f t="shared" si="32"/>
        <v>1962.846153846154</v>
      </c>
      <c r="CJ54"/>
      <c r="CK54"/>
    </row>
    <row r="55" spans="2:89">
      <c r="D55" s="249"/>
      <c r="E55" s="249"/>
      <c r="F55" s="249"/>
      <c r="G55" s="249"/>
      <c r="H55" s="249"/>
      <c r="I55" s="249"/>
      <c r="J55" s="249"/>
      <c r="K55" s="249"/>
      <c r="L55" s="249"/>
      <c r="M55" s="249"/>
      <c r="N55" s="249"/>
      <c r="O55" s="249"/>
      <c r="P55" s="249"/>
      <c r="Q55" s="364"/>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c r="CK55"/>
    </row>
    <row r="56" spans="2:89" ht="15.75">
      <c r="B56" s="52" t="s">
        <v>238</v>
      </c>
      <c r="D56" s="249"/>
      <c r="E56" s="249"/>
      <c r="F56" s="249"/>
      <c r="G56" s="249"/>
      <c r="H56" s="249"/>
      <c r="I56" s="249"/>
      <c r="J56" s="249"/>
      <c r="K56" s="249"/>
      <c r="L56" s="249"/>
      <c r="M56" s="249"/>
      <c r="N56" s="249"/>
      <c r="O56" s="249"/>
      <c r="P56" s="249"/>
      <c r="Q56" s="364"/>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c r="CK56"/>
    </row>
    <row r="57" spans="2:89">
      <c r="B57" s="44" t="s">
        <v>172</v>
      </c>
      <c r="D57" s="245">
        <f t="shared" ref="D57:AQ57" si="33">D18*(1+$D$41)+$D$42</f>
        <v>1642.1100000000001</v>
      </c>
      <c r="E57" s="245">
        <f t="shared" si="33"/>
        <v>1642.1100000000001</v>
      </c>
      <c r="F57" s="245">
        <f t="shared" si="33"/>
        <v>1642.1100000000001</v>
      </c>
      <c r="G57" s="245">
        <f t="shared" si="33"/>
        <v>1642.1100000000001</v>
      </c>
      <c r="H57" s="245">
        <f t="shared" si="33"/>
        <v>1642.1100000000001</v>
      </c>
      <c r="I57" s="245">
        <f t="shared" si="33"/>
        <v>1642.1100000000001</v>
      </c>
      <c r="J57" s="245">
        <f t="shared" si="33"/>
        <v>1642.1100000000001</v>
      </c>
      <c r="K57" s="245">
        <f t="shared" si="33"/>
        <v>1642.1100000000001</v>
      </c>
      <c r="L57" s="245">
        <f t="shared" si="33"/>
        <v>1642.1100000000001</v>
      </c>
      <c r="M57" s="245">
        <f t="shared" si="33"/>
        <v>1642.1100000000001</v>
      </c>
      <c r="N57" s="245">
        <f t="shared" si="33"/>
        <v>1642.1100000000001</v>
      </c>
      <c r="O57" s="245">
        <f t="shared" si="33"/>
        <v>1642.1100000000001</v>
      </c>
      <c r="P57" s="245">
        <f t="shared" si="33"/>
        <v>1642.1100000000001</v>
      </c>
      <c r="Q57" s="363">
        <f t="shared" si="33"/>
        <v>1642.1100000000001</v>
      </c>
      <c r="R57" s="245">
        <f t="shared" si="33"/>
        <v>1642.1100000000001</v>
      </c>
      <c r="S57" s="245">
        <f t="shared" si="33"/>
        <v>1642.1100000000001</v>
      </c>
      <c r="T57" s="245">
        <f t="shared" si="33"/>
        <v>1642.1100000000001</v>
      </c>
      <c r="U57" s="245">
        <f t="shared" si="33"/>
        <v>1642.1100000000001</v>
      </c>
      <c r="V57" s="245">
        <f t="shared" si="33"/>
        <v>1642.1100000000001</v>
      </c>
      <c r="W57" s="245">
        <f t="shared" si="33"/>
        <v>1642.1100000000001</v>
      </c>
      <c r="X57" s="245">
        <f t="shared" si="33"/>
        <v>1642.1100000000001</v>
      </c>
      <c r="Y57" s="245">
        <f t="shared" si="33"/>
        <v>1642.1100000000001</v>
      </c>
      <c r="Z57" s="245">
        <f t="shared" si="33"/>
        <v>1642.1100000000001</v>
      </c>
      <c r="AA57" s="245">
        <f t="shared" si="33"/>
        <v>1642.1100000000001</v>
      </c>
      <c r="AB57" s="245">
        <f t="shared" si="33"/>
        <v>1642.1100000000001</v>
      </c>
      <c r="AC57" s="245">
        <f t="shared" si="33"/>
        <v>1642.1100000000001</v>
      </c>
      <c r="AD57" s="245">
        <f t="shared" si="33"/>
        <v>1642.1100000000001</v>
      </c>
      <c r="AE57" s="245">
        <f t="shared" si="33"/>
        <v>1642.1100000000001</v>
      </c>
      <c r="AF57" s="245">
        <f t="shared" si="33"/>
        <v>1642.1100000000001</v>
      </c>
      <c r="AG57" s="245">
        <f t="shared" si="33"/>
        <v>1642.1100000000001</v>
      </c>
      <c r="AH57" s="245">
        <f t="shared" si="33"/>
        <v>1642.1100000000001</v>
      </c>
      <c r="AI57" s="245">
        <f t="shared" si="33"/>
        <v>1642.1100000000001</v>
      </c>
      <c r="AJ57" s="245">
        <f t="shared" si="33"/>
        <v>1642.1100000000001</v>
      </c>
      <c r="AK57" s="245">
        <f t="shared" si="33"/>
        <v>1642.1100000000001</v>
      </c>
      <c r="AL57" s="245">
        <f t="shared" si="33"/>
        <v>1642.1100000000001</v>
      </c>
      <c r="AM57" s="245">
        <f t="shared" si="33"/>
        <v>1642.1100000000001</v>
      </c>
      <c r="AN57" s="245">
        <f t="shared" si="33"/>
        <v>1642.1100000000001</v>
      </c>
      <c r="AO57" s="245">
        <f t="shared" si="33"/>
        <v>1642.1100000000001</v>
      </c>
      <c r="AP57" s="245">
        <f t="shared" si="33"/>
        <v>1642.1100000000001</v>
      </c>
      <c r="AQ57" s="245">
        <f t="shared" si="33"/>
        <v>1642.1100000000001</v>
      </c>
      <c r="AR57" s="245">
        <f t="shared" ref="AR57:BA57" si="34">AR18*(1+$D$41)+$D$42</f>
        <v>1642.1100000000001</v>
      </c>
      <c r="AS57" s="245">
        <f t="shared" si="34"/>
        <v>1642.1100000000001</v>
      </c>
      <c r="AT57" s="245">
        <f t="shared" si="34"/>
        <v>1642.1100000000001</v>
      </c>
      <c r="AU57" s="245">
        <f t="shared" si="34"/>
        <v>1642.1100000000001</v>
      </c>
      <c r="AV57" s="245">
        <f t="shared" si="34"/>
        <v>1642.1100000000001</v>
      </c>
      <c r="AW57" s="245">
        <f t="shared" si="34"/>
        <v>1642.1100000000001</v>
      </c>
      <c r="AX57" s="245">
        <f t="shared" si="34"/>
        <v>1642.1100000000001</v>
      </c>
      <c r="AY57" s="245">
        <f t="shared" si="34"/>
        <v>1642.1100000000001</v>
      </c>
      <c r="AZ57" s="245">
        <f t="shared" si="34"/>
        <v>1642.1100000000001</v>
      </c>
      <c r="BA57" s="245">
        <f t="shared" si="34"/>
        <v>1642.1100000000001</v>
      </c>
      <c r="BB57" s="245">
        <f t="shared" ref="BB57:CI57" si="35">BB18*(1+$D$41)+$D$42</f>
        <v>1642.1100000000001</v>
      </c>
      <c r="BC57" s="245">
        <f t="shared" si="35"/>
        <v>1642.1100000000001</v>
      </c>
      <c r="BD57" s="245">
        <f t="shared" si="35"/>
        <v>1642.1100000000001</v>
      </c>
      <c r="BE57" s="245">
        <f t="shared" si="35"/>
        <v>1642.1100000000001</v>
      </c>
      <c r="BF57" s="245">
        <f t="shared" si="35"/>
        <v>1642.1100000000001</v>
      </c>
      <c r="BG57" s="245">
        <f t="shared" si="35"/>
        <v>1642.1100000000001</v>
      </c>
      <c r="BH57" s="245">
        <f t="shared" si="35"/>
        <v>1642.1100000000001</v>
      </c>
      <c r="BI57" s="245">
        <f t="shared" si="35"/>
        <v>1642.1100000000001</v>
      </c>
      <c r="BJ57" s="245">
        <f t="shared" si="35"/>
        <v>1642.1100000000001</v>
      </c>
      <c r="BK57" s="245">
        <f t="shared" si="35"/>
        <v>1642.1100000000001</v>
      </c>
      <c r="BL57" s="245">
        <f t="shared" si="35"/>
        <v>1642.1100000000001</v>
      </c>
      <c r="BM57" s="245">
        <f t="shared" si="35"/>
        <v>1642.1100000000001</v>
      </c>
      <c r="BN57" s="245">
        <f t="shared" si="35"/>
        <v>1642.1100000000001</v>
      </c>
      <c r="BO57" s="245">
        <f t="shared" si="35"/>
        <v>1642.1100000000001</v>
      </c>
      <c r="BP57" s="245">
        <f t="shared" si="35"/>
        <v>1642.1100000000001</v>
      </c>
      <c r="BQ57" s="245">
        <f t="shared" si="35"/>
        <v>1642.1100000000001</v>
      </c>
      <c r="BR57" s="245">
        <f t="shared" si="35"/>
        <v>1642.1100000000001</v>
      </c>
      <c r="BS57" s="245">
        <f t="shared" si="35"/>
        <v>1642.1100000000001</v>
      </c>
      <c r="BT57" s="245">
        <f t="shared" si="35"/>
        <v>1642.1100000000001</v>
      </c>
      <c r="BU57" s="245">
        <f t="shared" si="35"/>
        <v>1642.1100000000001</v>
      </c>
      <c r="BV57" s="245">
        <f t="shared" si="35"/>
        <v>1642.1100000000001</v>
      </c>
      <c r="BW57" s="245">
        <f t="shared" si="35"/>
        <v>1642.1100000000001</v>
      </c>
      <c r="BX57" s="245">
        <f t="shared" si="35"/>
        <v>1642.1100000000001</v>
      </c>
      <c r="BY57" s="245">
        <f t="shared" si="35"/>
        <v>1642.1100000000001</v>
      </c>
      <c r="BZ57" s="245">
        <f t="shared" si="35"/>
        <v>1642.1100000000001</v>
      </c>
      <c r="CA57" s="245">
        <f t="shared" si="35"/>
        <v>1642.1100000000001</v>
      </c>
      <c r="CB57" s="245">
        <f t="shared" si="35"/>
        <v>1642.1100000000001</v>
      </c>
      <c r="CC57" s="245">
        <f t="shared" si="35"/>
        <v>1642.1100000000001</v>
      </c>
      <c r="CD57" s="245">
        <f t="shared" si="35"/>
        <v>1642.1100000000001</v>
      </c>
      <c r="CE57" s="245">
        <f t="shared" si="35"/>
        <v>1642.1100000000001</v>
      </c>
      <c r="CF57" s="245">
        <f t="shared" si="35"/>
        <v>1642.1100000000001</v>
      </c>
      <c r="CG57" s="245">
        <f t="shared" si="35"/>
        <v>1642.1100000000001</v>
      </c>
      <c r="CH57" s="245">
        <f t="shared" si="35"/>
        <v>1642.1100000000001</v>
      </c>
      <c r="CI57" s="245">
        <f t="shared" si="35"/>
        <v>1642.1100000000001</v>
      </c>
      <c r="CJ57"/>
      <c r="CK57"/>
    </row>
    <row r="58" spans="2:89">
      <c r="B58" s="44" t="s">
        <v>173</v>
      </c>
      <c r="D58" s="245">
        <f t="shared" ref="D58:AQ58" si="36">D19*(1+$E$41)+$E$42</f>
        <v>1642.1100000000001</v>
      </c>
      <c r="E58" s="245">
        <f t="shared" si="36"/>
        <v>1642.1100000000001</v>
      </c>
      <c r="F58" s="245">
        <f t="shared" si="36"/>
        <v>1642.1100000000001</v>
      </c>
      <c r="G58" s="245">
        <f t="shared" si="36"/>
        <v>1642.1100000000001</v>
      </c>
      <c r="H58" s="245">
        <f t="shared" si="36"/>
        <v>1642.1100000000001</v>
      </c>
      <c r="I58" s="245">
        <f t="shared" si="36"/>
        <v>1642.1100000000001</v>
      </c>
      <c r="J58" s="245">
        <f t="shared" si="36"/>
        <v>1642.1100000000001</v>
      </c>
      <c r="K58" s="245">
        <f t="shared" si="36"/>
        <v>1642.1100000000001</v>
      </c>
      <c r="L58" s="245">
        <f t="shared" si="36"/>
        <v>1642.1100000000001</v>
      </c>
      <c r="M58" s="245">
        <f t="shared" si="36"/>
        <v>1642.1100000000001</v>
      </c>
      <c r="N58" s="245">
        <f t="shared" si="36"/>
        <v>1642.1100000000001</v>
      </c>
      <c r="O58" s="245">
        <f t="shared" si="36"/>
        <v>1642.1100000000001</v>
      </c>
      <c r="P58" s="245">
        <f t="shared" si="36"/>
        <v>1642.1100000000001</v>
      </c>
      <c r="Q58" s="363">
        <f t="shared" si="36"/>
        <v>1642.1100000000001</v>
      </c>
      <c r="R58" s="245">
        <f t="shared" si="36"/>
        <v>1642.1100000000001</v>
      </c>
      <c r="S58" s="245">
        <f t="shared" si="36"/>
        <v>1642.1100000000001</v>
      </c>
      <c r="T58" s="245">
        <f t="shared" si="36"/>
        <v>1642.1100000000001</v>
      </c>
      <c r="U58" s="245">
        <f t="shared" si="36"/>
        <v>1642.1100000000001</v>
      </c>
      <c r="V58" s="245">
        <f t="shared" si="36"/>
        <v>1642.1100000000001</v>
      </c>
      <c r="W58" s="245">
        <f t="shared" si="36"/>
        <v>1642.1100000000001</v>
      </c>
      <c r="X58" s="245">
        <f t="shared" si="36"/>
        <v>1642.1100000000001</v>
      </c>
      <c r="Y58" s="245">
        <f t="shared" si="36"/>
        <v>1642.1100000000001</v>
      </c>
      <c r="Z58" s="245">
        <f t="shared" si="36"/>
        <v>1642.1100000000001</v>
      </c>
      <c r="AA58" s="245">
        <f t="shared" si="36"/>
        <v>1642.1100000000001</v>
      </c>
      <c r="AB58" s="245">
        <f t="shared" si="36"/>
        <v>1642.1100000000001</v>
      </c>
      <c r="AC58" s="245">
        <f t="shared" si="36"/>
        <v>1642.1100000000001</v>
      </c>
      <c r="AD58" s="245">
        <f t="shared" si="36"/>
        <v>1642.1100000000001</v>
      </c>
      <c r="AE58" s="245">
        <f t="shared" si="36"/>
        <v>1642.1100000000001</v>
      </c>
      <c r="AF58" s="245">
        <f t="shared" si="36"/>
        <v>1642.1100000000001</v>
      </c>
      <c r="AG58" s="245">
        <f t="shared" si="36"/>
        <v>1642.1100000000001</v>
      </c>
      <c r="AH58" s="245">
        <f t="shared" si="36"/>
        <v>1642.1100000000001</v>
      </c>
      <c r="AI58" s="245">
        <f t="shared" si="36"/>
        <v>1642.1100000000001</v>
      </c>
      <c r="AJ58" s="245">
        <f t="shared" si="36"/>
        <v>1642.1100000000001</v>
      </c>
      <c r="AK58" s="245">
        <f t="shared" si="36"/>
        <v>1642.1100000000001</v>
      </c>
      <c r="AL58" s="245">
        <f t="shared" si="36"/>
        <v>1642.1100000000001</v>
      </c>
      <c r="AM58" s="245">
        <f t="shared" si="36"/>
        <v>1642.1100000000001</v>
      </c>
      <c r="AN58" s="245">
        <f t="shared" si="36"/>
        <v>1642.1100000000001</v>
      </c>
      <c r="AO58" s="245">
        <f t="shared" si="36"/>
        <v>1642.1100000000001</v>
      </c>
      <c r="AP58" s="245">
        <f t="shared" si="36"/>
        <v>1642.1100000000001</v>
      </c>
      <c r="AQ58" s="245">
        <f t="shared" si="36"/>
        <v>1642.1100000000001</v>
      </c>
      <c r="AR58" s="245">
        <f t="shared" ref="AR58:BA58" si="37">AR19*(1+$E$41)+$E$42</f>
        <v>1642.1100000000001</v>
      </c>
      <c r="AS58" s="245">
        <f t="shared" si="37"/>
        <v>1642.1100000000001</v>
      </c>
      <c r="AT58" s="245">
        <f t="shared" si="37"/>
        <v>1642.1100000000001</v>
      </c>
      <c r="AU58" s="245">
        <f t="shared" si="37"/>
        <v>1642.1100000000001</v>
      </c>
      <c r="AV58" s="245">
        <f t="shared" si="37"/>
        <v>1642.1100000000001</v>
      </c>
      <c r="AW58" s="245">
        <f t="shared" si="37"/>
        <v>1642.1100000000001</v>
      </c>
      <c r="AX58" s="245">
        <f t="shared" si="37"/>
        <v>1642.1100000000001</v>
      </c>
      <c r="AY58" s="245">
        <f t="shared" si="37"/>
        <v>1642.1100000000001</v>
      </c>
      <c r="AZ58" s="245">
        <f t="shared" si="37"/>
        <v>1642.1100000000001</v>
      </c>
      <c r="BA58" s="245">
        <f t="shared" si="37"/>
        <v>1642.1100000000001</v>
      </c>
      <c r="BB58" s="245">
        <f t="shared" ref="BB58:CI58" si="38">BB19*(1+$E$41)+$E$42</f>
        <v>1642.1100000000001</v>
      </c>
      <c r="BC58" s="245">
        <f t="shared" si="38"/>
        <v>1642.1100000000001</v>
      </c>
      <c r="BD58" s="245">
        <f t="shared" si="38"/>
        <v>1642.1100000000001</v>
      </c>
      <c r="BE58" s="245">
        <f t="shared" si="38"/>
        <v>1642.1100000000001</v>
      </c>
      <c r="BF58" s="245">
        <f t="shared" si="38"/>
        <v>1642.1100000000001</v>
      </c>
      <c r="BG58" s="245">
        <f t="shared" si="38"/>
        <v>1642.1100000000001</v>
      </c>
      <c r="BH58" s="245">
        <f t="shared" si="38"/>
        <v>1642.1100000000001</v>
      </c>
      <c r="BI58" s="245">
        <f t="shared" si="38"/>
        <v>1642.1100000000001</v>
      </c>
      <c r="BJ58" s="245">
        <f t="shared" si="38"/>
        <v>1642.1100000000001</v>
      </c>
      <c r="BK58" s="245">
        <f t="shared" si="38"/>
        <v>1642.1100000000001</v>
      </c>
      <c r="BL58" s="245">
        <f t="shared" si="38"/>
        <v>1642.1100000000001</v>
      </c>
      <c r="BM58" s="245">
        <f t="shared" si="38"/>
        <v>1642.1100000000001</v>
      </c>
      <c r="BN58" s="245">
        <f t="shared" si="38"/>
        <v>1642.1100000000001</v>
      </c>
      <c r="BO58" s="245">
        <f t="shared" si="38"/>
        <v>1642.1100000000001</v>
      </c>
      <c r="BP58" s="245">
        <f t="shared" si="38"/>
        <v>1642.1100000000001</v>
      </c>
      <c r="BQ58" s="245">
        <f t="shared" si="38"/>
        <v>1642.1100000000001</v>
      </c>
      <c r="BR58" s="245">
        <f t="shared" si="38"/>
        <v>1642.1100000000001</v>
      </c>
      <c r="BS58" s="245">
        <f t="shared" si="38"/>
        <v>1642.1100000000001</v>
      </c>
      <c r="BT58" s="245">
        <f t="shared" si="38"/>
        <v>1642.1100000000001</v>
      </c>
      <c r="BU58" s="245">
        <f t="shared" si="38"/>
        <v>1642.1100000000001</v>
      </c>
      <c r="BV58" s="245">
        <f t="shared" si="38"/>
        <v>1642.1100000000001</v>
      </c>
      <c r="BW58" s="245">
        <f t="shared" si="38"/>
        <v>1642.1100000000001</v>
      </c>
      <c r="BX58" s="245">
        <f t="shared" si="38"/>
        <v>1642.1100000000001</v>
      </c>
      <c r="BY58" s="245">
        <f t="shared" si="38"/>
        <v>1642.1100000000001</v>
      </c>
      <c r="BZ58" s="245">
        <f t="shared" si="38"/>
        <v>1642.1100000000001</v>
      </c>
      <c r="CA58" s="245">
        <f t="shared" si="38"/>
        <v>1642.1100000000001</v>
      </c>
      <c r="CB58" s="245">
        <f t="shared" si="38"/>
        <v>1642.1100000000001</v>
      </c>
      <c r="CC58" s="245">
        <f t="shared" si="38"/>
        <v>1642.1100000000001</v>
      </c>
      <c r="CD58" s="245">
        <f t="shared" si="38"/>
        <v>1642.1100000000001</v>
      </c>
      <c r="CE58" s="245">
        <f t="shared" si="38"/>
        <v>1642.1100000000001</v>
      </c>
      <c r="CF58" s="245">
        <f t="shared" si="38"/>
        <v>1642.1100000000001</v>
      </c>
      <c r="CG58" s="245">
        <f t="shared" si="38"/>
        <v>1642.1100000000001</v>
      </c>
      <c r="CH58" s="245">
        <f t="shared" si="38"/>
        <v>1642.1100000000001</v>
      </c>
      <c r="CI58" s="245">
        <f t="shared" si="38"/>
        <v>1642.1100000000001</v>
      </c>
      <c r="CJ58"/>
      <c r="CK58"/>
    </row>
    <row r="59" spans="2:89">
      <c r="B59" s="44" t="s">
        <v>174</v>
      </c>
      <c r="D59" s="245">
        <f t="shared" ref="D59:AQ59" si="39">D20*(1+$F$41)+$F$42</f>
        <v>1642.1100000000001</v>
      </c>
      <c r="E59" s="245">
        <f t="shared" si="39"/>
        <v>1642.1100000000001</v>
      </c>
      <c r="F59" s="245">
        <f t="shared" si="39"/>
        <v>1642.1100000000001</v>
      </c>
      <c r="G59" s="245">
        <f t="shared" si="39"/>
        <v>1642.1100000000001</v>
      </c>
      <c r="H59" s="245">
        <f t="shared" si="39"/>
        <v>1642.1100000000001</v>
      </c>
      <c r="I59" s="245">
        <f t="shared" si="39"/>
        <v>1642.1100000000001</v>
      </c>
      <c r="J59" s="245">
        <f t="shared" si="39"/>
        <v>1642.1100000000001</v>
      </c>
      <c r="K59" s="245">
        <f t="shared" si="39"/>
        <v>1642.1100000000001</v>
      </c>
      <c r="L59" s="245">
        <f t="shared" si="39"/>
        <v>1642.1100000000001</v>
      </c>
      <c r="M59" s="245">
        <f t="shared" si="39"/>
        <v>1642.1100000000001</v>
      </c>
      <c r="N59" s="245">
        <f t="shared" si="39"/>
        <v>1642.1100000000001</v>
      </c>
      <c r="O59" s="245">
        <f t="shared" si="39"/>
        <v>1642.1100000000001</v>
      </c>
      <c r="P59" s="245">
        <f t="shared" si="39"/>
        <v>1642.1100000000001</v>
      </c>
      <c r="Q59" s="363">
        <f t="shared" si="39"/>
        <v>1642.1100000000001</v>
      </c>
      <c r="R59" s="245">
        <f t="shared" si="39"/>
        <v>1642.1100000000001</v>
      </c>
      <c r="S59" s="245">
        <f t="shared" si="39"/>
        <v>1642.1100000000001</v>
      </c>
      <c r="T59" s="245">
        <f t="shared" si="39"/>
        <v>1642.1100000000001</v>
      </c>
      <c r="U59" s="245">
        <f t="shared" si="39"/>
        <v>1642.1100000000001</v>
      </c>
      <c r="V59" s="245">
        <f t="shared" si="39"/>
        <v>1642.1100000000001</v>
      </c>
      <c r="W59" s="245">
        <f t="shared" si="39"/>
        <v>1642.1100000000001</v>
      </c>
      <c r="X59" s="245">
        <f t="shared" si="39"/>
        <v>1642.1100000000001</v>
      </c>
      <c r="Y59" s="245">
        <f t="shared" si="39"/>
        <v>1642.1100000000001</v>
      </c>
      <c r="Z59" s="245">
        <f t="shared" si="39"/>
        <v>1642.1100000000001</v>
      </c>
      <c r="AA59" s="245">
        <f t="shared" si="39"/>
        <v>1642.1100000000001</v>
      </c>
      <c r="AB59" s="245">
        <f t="shared" si="39"/>
        <v>1642.1100000000001</v>
      </c>
      <c r="AC59" s="245">
        <f t="shared" si="39"/>
        <v>1642.1100000000001</v>
      </c>
      <c r="AD59" s="245">
        <f t="shared" si="39"/>
        <v>1642.1100000000001</v>
      </c>
      <c r="AE59" s="245">
        <f t="shared" si="39"/>
        <v>1642.1100000000001</v>
      </c>
      <c r="AF59" s="245">
        <f t="shared" si="39"/>
        <v>1642.1100000000001</v>
      </c>
      <c r="AG59" s="245">
        <f t="shared" si="39"/>
        <v>1642.1100000000001</v>
      </c>
      <c r="AH59" s="245">
        <f t="shared" si="39"/>
        <v>1642.1100000000001</v>
      </c>
      <c r="AI59" s="245">
        <f t="shared" si="39"/>
        <v>1642.1100000000001</v>
      </c>
      <c r="AJ59" s="245">
        <f t="shared" si="39"/>
        <v>1642.1100000000001</v>
      </c>
      <c r="AK59" s="245">
        <f t="shared" si="39"/>
        <v>1642.1100000000001</v>
      </c>
      <c r="AL59" s="245">
        <f t="shared" si="39"/>
        <v>1642.1100000000001</v>
      </c>
      <c r="AM59" s="245">
        <f t="shared" si="39"/>
        <v>1642.1100000000001</v>
      </c>
      <c r="AN59" s="245">
        <f t="shared" si="39"/>
        <v>1642.1100000000001</v>
      </c>
      <c r="AO59" s="245">
        <f t="shared" si="39"/>
        <v>1642.1100000000001</v>
      </c>
      <c r="AP59" s="245">
        <f t="shared" si="39"/>
        <v>1642.1100000000001</v>
      </c>
      <c r="AQ59" s="245">
        <f t="shared" si="39"/>
        <v>1642.1100000000001</v>
      </c>
      <c r="AR59" s="245">
        <f t="shared" ref="AR59:BA59" si="40">AR20*(1+$F$41)+$F$42</f>
        <v>1642.1100000000001</v>
      </c>
      <c r="AS59" s="245">
        <f t="shared" si="40"/>
        <v>1642.1100000000001</v>
      </c>
      <c r="AT59" s="245">
        <f t="shared" si="40"/>
        <v>1642.1100000000001</v>
      </c>
      <c r="AU59" s="245">
        <f t="shared" si="40"/>
        <v>1642.1100000000001</v>
      </c>
      <c r="AV59" s="245">
        <f t="shared" si="40"/>
        <v>1642.1100000000001</v>
      </c>
      <c r="AW59" s="245">
        <f t="shared" si="40"/>
        <v>1642.1100000000001</v>
      </c>
      <c r="AX59" s="245">
        <f t="shared" si="40"/>
        <v>1642.1100000000001</v>
      </c>
      <c r="AY59" s="245">
        <f t="shared" si="40"/>
        <v>1642.1100000000001</v>
      </c>
      <c r="AZ59" s="245">
        <f t="shared" si="40"/>
        <v>1642.1100000000001</v>
      </c>
      <c r="BA59" s="245">
        <f t="shared" si="40"/>
        <v>1642.1100000000001</v>
      </c>
      <c r="BB59" s="245">
        <f t="shared" ref="BB59:CI59" si="41">BB20*(1+$F$41)+$F$42</f>
        <v>1642.1100000000001</v>
      </c>
      <c r="BC59" s="245">
        <f t="shared" si="41"/>
        <v>1642.1100000000001</v>
      </c>
      <c r="BD59" s="245">
        <f t="shared" si="41"/>
        <v>1642.1100000000001</v>
      </c>
      <c r="BE59" s="245">
        <f t="shared" si="41"/>
        <v>1642.1100000000001</v>
      </c>
      <c r="BF59" s="245">
        <f t="shared" si="41"/>
        <v>1642.1100000000001</v>
      </c>
      <c r="BG59" s="245">
        <f t="shared" si="41"/>
        <v>1642.1100000000001</v>
      </c>
      <c r="BH59" s="245">
        <f t="shared" si="41"/>
        <v>1642.1100000000001</v>
      </c>
      <c r="BI59" s="245">
        <f t="shared" si="41"/>
        <v>1642.1100000000001</v>
      </c>
      <c r="BJ59" s="245">
        <f t="shared" si="41"/>
        <v>1642.1100000000001</v>
      </c>
      <c r="BK59" s="245">
        <f t="shared" si="41"/>
        <v>1642.1100000000001</v>
      </c>
      <c r="BL59" s="245">
        <f t="shared" si="41"/>
        <v>1642.1100000000001</v>
      </c>
      <c r="BM59" s="245">
        <f t="shared" si="41"/>
        <v>1642.1100000000001</v>
      </c>
      <c r="BN59" s="245">
        <f t="shared" si="41"/>
        <v>1642.1100000000001</v>
      </c>
      <c r="BO59" s="245">
        <f t="shared" si="41"/>
        <v>1642.1100000000001</v>
      </c>
      <c r="BP59" s="245">
        <f t="shared" si="41"/>
        <v>1642.1100000000001</v>
      </c>
      <c r="BQ59" s="245">
        <f t="shared" si="41"/>
        <v>1642.1100000000001</v>
      </c>
      <c r="BR59" s="245">
        <f t="shared" si="41"/>
        <v>1642.1100000000001</v>
      </c>
      <c r="BS59" s="245">
        <f t="shared" si="41"/>
        <v>1642.1100000000001</v>
      </c>
      <c r="BT59" s="245">
        <f t="shared" si="41"/>
        <v>1642.1100000000001</v>
      </c>
      <c r="BU59" s="245">
        <f t="shared" si="41"/>
        <v>1642.1100000000001</v>
      </c>
      <c r="BV59" s="245">
        <f t="shared" si="41"/>
        <v>1642.1100000000001</v>
      </c>
      <c r="BW59" s="245">
        <f t="shared" si="41"/>
        <v>1642.1100000000001</v>
      </c>
      <c r="BX59" s="245">
        <f t="shared" si="41"/>
        <v>1642.1100000000001</v>
      </c>
      <c r="BY59" s="245">
        <f t="shared" si="41"/>
        <v>1642.1100000000001</v>
      </c>
      <c r="BZ59" s="245">
        <f t="shared" si="41"/>
        <v>1642.1100000000001</v>
      </c>
      <c r="CA59" s="245">
        <f t="shared" si="41"/>
        <v>1642.1100000000001</v>
      </c>
      <c r="CB59" s="245">
        <f t="shared" si="41"/>
        <v>1642.1100000000001</v>
      </c>
      <c r="CC59" s="245">
        <f t="shared" si="41"/>
        <v>1642.1100000000001</v>
      </c>
      <c r="CD59" s="245">
        <f t="shared" si="41"/>
        <v>1642.1100000000001</v>
      </c>
      <c r="CE59" s="245">
        <f t="shared" si="41"/>
        <v>1642.1100000000001</v>
      </c>
      <c r="CF59" s="245">
        <f t="shared" si="41"/>
        <v>1642.1100000000001</v>
      </c>
      <c r="CG59" s="245">
        <f t="shared" si="41"/>
        <v>1642.1100000000001</v>
      </c>
      <c r="CH59" s="245">
        <f t="shared" si="41"/>
        <v>1642.1100000000001</v>
      </c>
      <c r="CI59" s="245">
        <f t="shared" si="41"/>
        <v>1642.1100000000001</v>
      </c>
      <c r="CJ59"/>
      <c r="CK59"/>
    </row>
    <row r="60" spans="2:89">
      <c r="B60" s="44" t="s">
        <v>175</v>
      </c>
      <c r="D60" s="245">
        <f t="shared" ref="D60:AQ60" si="42">D21*(1+$G$41)+$G$42</f>
        <v>1642.1100000000001</v>
      </c>
      <c r="E60" s="245">
        <f t="shared" si="42"/>
        <v>1642.1100000000001</v>
      </c>
      <c r="F60" s="245">
        <f t="shared" si="42"/>
        <v>1642.1100000000001</v>
      </c>
      <c r="G60" s="245">
        <f t="shared" si="42"/>
        <v>1642.1100000000001</v>
      </c>
      <c r="H60" s="245">
        <f t="shared" si="42"/>
        <v>1642.1100000000001</v>
      </c>
      <c r="I60" s="245">
        <f t="shared" si="42"/>
        <v>1642.1100000000001</v>
      </c>
      <c r="J60" s="245">
        <f t="shared" si="42"/>
        <v>1642.1100000000001</v>
      </c>
      <c r="K60" s="245">
        <f t="shared" si="42"/>
        <v>1642.1100000000001</v>
      </c>
      <c r="L60" s="245">
        <f t="shared" si="42"/>
        <v>1642.1100000000001</v>
      </c>
      <c r="M60" s="245">
        <f t="shared" si="42"/>
        <v>1642.1100000000001</v>
      </c>
      <c r="N60" s="245">
        <f t="shared" si="42"/>
        <v>1642.1100000000001</v>
      </c>
      <c r="O60" s="245">
        <f t="shared" si="42"/>
        <v>1642.1100000000001</v>
      </c>
      <c r="P60" s="245">
        <f t="shared" si="42"/>
        <v>1642.1100000000001</v>
      </c>
      <c r="Q60" s="363">
        <f t="shared" si="42"/>
        <v>1642.1100000000001</v>
      </c>
      <c r="R60" s="245">
        <f t="shared" si="42"/>
        <v>1642.1100000000001</v>
      </c>
      <c r="S60" s="245">
        <f t="shared" si="42"/>
        <v>1642.1100000000001</v>
      </c>
      <c r="T60" s="245">
        <f t="shared" si="42"/>
        <v>1642.1100000000001</v>
      </c>
      <c r="U60" s="245">
        <f t="shared" si="42"/>
        <v>1642.1100000000001</v>
      </c>
      <c r="V60" s="245">
        <f t="shared" si="42"/>
        <v>1642.1100000000001</v>
      </c>
      <c r="W60" s="245">
        <f t="shared" si="42"/>
        <v>1642.1100000000001</v>
      </c>
      <c r="X60" s="245">
        <f t="shared" si="42"/>
        <v>1642.1100000000001</v>
      </c>
      <c r="Y60" s="245">
        <f t="shared" si="42"/>
        <v>1642.1100000000001</v>
      </c>
      <c r="Z60" s="245">
        <f t="shared" si="42"/>
        <v>1642.1100000000001</v>
      </c>
      <c r="AA60" s="245">
        <f t="shared" si="42"/>
        <v>1642.1100000000001</v>
      </c>
      <c r="AB60" s="245">
        <f t="shared" si="42"/>
        <v>1642.1100000000001</v>
      </c>
      <c r="AC60" s="245">
        <f t="shared" si="42"/>
        <v>1642.1100000000001</v>
      </c>
      <c r="AD60" s="245">
        <f t="shared" si="42"/>
        <v>1642.1100000000001</v>
      </c>
      <c r="AE60" s="245">
        <f t="shared" si="42"/>
        <v>1642.1100000000001</v>
      </c>
      <c r="AF60" s="245">
        <f t="shared" si="42"/>
        <v>1642.1100000000001</v>
      </c>
      <c r="AG60" s="245">
        <f t="shared" si="42"/>
        <v>1642.1100000000001</v>
      </c>
      <c r="AH60" s="245">
        <f t="shared" si="42"/>
        <v>1642.1100000000001</v>
      </c>
      <c r="AI60" s="245">
        <f t="shared" si="42"/>
        <v>1642.1100000000001</v>
      </c>
      <c r="AJ60" s="245">
        <f t="shared" si="42"/>
        <v>1642.1100000000001</v>
      </c>
      <c r="AK60" s="245">
        <f t="shared" si="42"/>
        <v>1642.1100000000001</v>
      </c>
      <c r="AL60" s="245">
        <f t="shared" si="42"/>
        <v>1642.1100000000001</v>
      </c>
      <c r="AM60" s="245">
        <f t="shared" si="42"/>
        <v>1642.1100000000001</v>
      </c>
      <c r="AN60" s="245">
        <f t="shared" si="42"/>
        <v>1642.1100000000001</v>
      </c>
      <c r="AO60" s="245">
        <f t="shared" si="42"/>
        <v>1642.1100000000001</v>
      </c>
      <c r="AP60" s="245">
        <f t="shared" si="42"/>
        <v>1642.1100000000001</v>
      </c>
      <c r="AQ60" s="245">
        <f t="shared" si="42"/>
        <v>1642.1100000000001</v>
      </c>
      <c r="AR60" s="245">
        <f t="shared" ref="AR60:BA60" si="43">AR21*(1+$G$41)+$G$42</f>
        <v>1642.1100000000001</v>
      </c>
      <c r="AS60" s="245">
        <f t="shared" si="43"/>
        <v>1642.1100000000001</v>
      </c>
      <c r="AT60" s="245">
        <f t="shared" si="43"/>
        <v>1642.1100000000001</v>
      </c>
      <c r="AU60" s="245">
        <f t="shared" si="43"/>
        <v>1642.1100000000001</v>
      </c>
      <c r="AV60" s="245">
        <f t="shared" si="43"/>
        <v>1642.1100000000001</v>
      </c>
      <c r="AW60" s="245">
        <f t="shared" si="43"/>
        <v>1642.1100000000001</v>
      </c>
      <c r="AX60" s="245">
        <f t="shared" si="43"/>
        <v>1642.1100000000001</v>
      </c>
      <c r="AY60" s="245">
        <f t="shared" si="43"/>
        <v>1642.1100000000001</v>
      </c>
      <c r="AZ60" s="245">
        <f t="shared" si="43"/>
        <v>1642.1100000000001</v>
      </c>
      <c r="BA60" s="245">
        <f t="shared" si="43"/>
        <v>1642.1100000000001</v>
      </c>
      <c r="BB60" s="245">
        <f t="shared" ref="BB60:CI60" si="44">BB21*(1+$G$41)+$G$42</f>
        <v>1642.1100000000001</v>
      </c>
      <c r="BC60" s="245">
        <f t="shared" si="44"/>
        <v>1642.1100000000001</v>
      </c>
      <c r="BD60" s="245">
        <f t="shared" si="44"/>
        <v>1642.1100000000001</v>
      </c>
      <c r="BE60" s="245">
        <f t="shared" si="44"/>
        <v>1642.1100000000001</v>
      </c>
      <c r="BF60" s="245">
        <f t="shared" si="44"/>
        <v>1642.1100000000001</v>
      </c>
      <c r="BG60" s="245">
        <f t="shared" si="44"/>
        <v>1642.1100000000001</v>
      </c>
      <c r="BH60" s="245">
        <f t="shared" si="44"/>
        <v>1642.1100000000001</v>
      </c>
      <c r="BI60" s="245">
        <f t="shared" si="44"/>
        <v>1642.1100000000001</v>
      </c>
      <c r="BJ60" s="245">
        <f t="shared" si="44"/>
        <v>1642.1100000000001</v>
      </c>
      <c r="BK60" s="245">
        <f t="shared" si="44"/>
        <v>1642.1100000000001</v>
      </c>
      <c r="BL60" s="245">
        <f t="shared" si="44"/>
        <v>1642.1100000000001</v>
      </c>
      <c r="BM60" s="245">
        <f t="shared" si="44"/>
        <v>1642.1100000000001</v>
      </c>
      <c r="BN60" s="245">
        <f t="shared" si="44"/>
        <v>1642.1100000000001</v>
      </c>
      <c r="BO60" s="245">
        <f t="shared" si="44"/>
        <v>1642.1100000000001</v>
      </c>
      <c r="BP60" s="245">
        <f t="shared" si="44"/>
        <v>1642.1100000000001</v>
      </c>
      <c r="BQ60" s="245">
        <f t="shared" si="44"/>
        <v>1642.1100000000001</v>
      </c>
      <c r="BR60" s="245">
        <f t="shared" si="44"/>
        <v>1642.1100000000001</v>
      </c>
      <c r="BS60" s="245">
        <f t="shared" si="44"/>
        <v>1642.1100000000001</v>
      </c>
      <c r="BT60" s="245">
        <f t="shared" si="44"/>
        <v>1642.1100000000001</v>
      </c>
      <c r="BU60" s="245">
        <f t="shared" si="44"/>
        <v>1642.1100000000001</v>
      </c>
      <c r="BV60" s="245">
        <f t="shared" si="44"/>
        <v>1642.1100000000001</v>
      </c>
      <c r="BW60" s="245">
        <f t="shared" si="44"/>
        <v>1642.1100000000001</v>
      </c>
      <c r="BX60" s="245">
        <f t="shared" si="44"/>
        <v>1642.1100000000001</v>
      </c>
      <c r="BY60" s="245">
        <f t="shared" si="44"/>
        <v>1642.1100000000001</v>
      </c>
      <c r="BZ60" s="245">
        <f t="shared" si="44"/>
        <v>1642.1100000000001</v>
      </c>
      <c r="CA60" s="245">
        <f t="shared" si="44"/>
        <v>1642.1100000000001</v>
      </c>
      <c r="CB60" s="245">
        <f t="shared" si="44"/>
        <v>1642.1100000000001</v>
      </c>
      <c r="CC60" s="245">
        <f t="shared" si="44"/>
        <v>1642.1100000000001</v>
      </c>
      <c r="CD60" s="245">
        <f t="shared" si="44"/>
        <v>1642.1100000000001</v>
      </c>
      <c r="CE60" s="245">
        <f t="shared" si="44"/>
        <v>1642.1100000000001</v>
      </c>
      <c r="CF60" s="245">
        <f t="shared" si="44"/>
        <v>1642.1100000000001</v>
      </c>
      <c r="CG60" s="245">
        <f t="shared" si="44"/>
        <v>1642.1100000000001</v>
      </c>
      <c r="CH60" s="245">
        <f t="shared" si="44"/>
        <v>1642.1100000000001</v>
      </c>
      <c r="CI60" s="245">
        <f t="shared" si="44"/>
        <v>1642.1100000000001</v>
      </c>
      <c r="CJ60"/>
      <c r="CK60"/>
    </row>
    <row r="61" spans="2:89">
      <c r="B61" s="44" t="s">
        <v>176</v>
      </c>
      <c r="D61" s="245">
        <f t="shared" ref="D61:AQ61" si="45">D22*(1+$H$41)+$H$42</f>
        <v>1642.1100000000001</v>
      </c>
      <c r="E61" s="245">
        <f t="shared" si="45"/>
        <v>1642.1100000000001</v>
      </c>
      <c r="F61" s="245">
        <f t="shared" si="45"/>
        <v>1642.1100000000001</v>
      </c>
      <c r="G61" s="245">
        <f t="shared" si="45"/>
        <v>1642.1100000000001</v>
      </c>
      <c r="H61" s="245">
        <f t="shared" si="45"/>
        <v>1642.1100000000001</v>
      </c>
      <c r="I61" s="245">
        <f t="shared" si="45"/>
        <v>1642.1100000000001</v>
      </c>
      <c r="J61" s="245">
        <f t="shared" si="45"/>
        <v>1642.1100000000001</v>
      </c>
      <c r="K61" s="245">
        <f t="shared" si="45"/>
        <v>1642.1100000000001</v>
      </c>
      <c r="L61" s="245">
        <f t="shared" si="45"/>
        <v>1642.1100000000001</v>
      </c>
      <c r="M61" s="245">
        <f t="shared" si="45"/>
        <v>1642.1100000000001</v>
      </c>
      <c r="N61" s="245">
        <f t="shared" si="45"/>
        <v>1642.1100000000001</v>
      </c>
      <c r="O61" s="245">
        <f t="shared" si="45"/>
        <v>1642.1100000000001</v>
      </c>
      <c r="P61" s="245">
        <f t="shared" si="45"/>
        <v>1642.1100000000001</v>
      </c>
      <c r="Q61" s="363">
        <f t="shared" si="45"/>
        <v>1642.1100000000001</v>
      </c>
      <c r="R61" s="245">
        <f t="shared" si="45"/>
        <v>1642.1100000000001</v>
      </c>
      <c r="S61" s="245">
        <f t="shared" si="45"/>
        <v>1642.1100000000001</v>
      </c>
      <c r="T61" s="245">
        <f t="shared" si="45"/>
        <v>1642.1100000000001</v>
      </c>
      <c r="U61" s="245">
        <f t="shared" si="45"/>
        <v>1642.1100000000001</v>
      </c>
      <c r="V61" s="245">
        <f t="shared" si="45"/>
        <v>1642.1100000000001</v>
      </c>
      <c r="W61" s="245">
        <f t="shared" si="45"/>
        <v>1642.1100000000001</v>
      </c>
      <c r="X61" s="245">
        <f t="shared" si="45"/>
        <v>1642.1100000000001</v>
      </c>
      <c r="Y61" s="245">
        <f t="shared" si="45"/>
        <v>1642.1100000000001</v>
      </c>
      <c r="Z61" s="245">
        <f t="shared" si="45"/>
        <v>1642.1100000000001</v>
      </c>
      <c r="AA61" s="245">
        <f t="shared" si="45"/>
        <v>1642.1100000000001</v>
      </c>
      <c r="AB61" s="245">
        <f t="shared" si="45"/>
        <v>1642.1100000000001</v>
      </c>
      <c r="AC61" s="245">
        <f t="shared" si="45"/>
        <v>1642.1100000000001</v>
      </c>
      <c r="AD61" s="245">
        <f t="shared" si="45"/>
        <v>1642.1100000000001</v>
      </c>
      <c r="AE61" s="245">
        <f t="shared" si="45"/>
        <v>1642.1100000000001</v>
      </c>
      <c r="AF61" s="245">
        <f t="shared" si="45"/>
        <v>1642.1100000000001</v>
      </c>
      <c r="AG61" s="245">
        <f t="shared" si="45"/>
        <v>1642.1100000000001</v>
      </c>
      <c r="AH61" s="245">
        <f t="shared" si="45"/>
        <v>1642.1100000000001</v>
      </c>
      <c r="AI61" s="245">
        <f t="shared" si="45"/>
        <v>1642.1100000000001</v>
      </c>
      <c r="AJ61" s="245">
        <f t="shared" si="45"/>
        <v>1642.1100000000001</v>
      </c>
      <c r="AK61" s="245">
        <f t="shared" si="45"/>
        <v>1642.1100000000001</v>
      </c>
      <c r="AL61" s="245">
        <f t="shared" si="45"/>
        <v>1642.1100000000001</v>
      </c>
      <c r="AM61" s="245">
        <f t="shared" si="45"/>
        <v>1642.1100000000001</v>
      </c>
      <c r="AN61" s="245">
        <f t="shared" si="45"/>
        <v>1642.1100000000001</v>
      </c>
      <c r="AO61" s="245">
        <f t="shared" si="45"/>
        <v>1642.1100000000001</v>
      </c>
      <c r="AP61" s="245">
        <f t="shared" si="45"/>
        <v>1642.1100000000001</v>
      </c>
      <c r="AQ61" s="245">
        <f t="shared" si="45"/>
        <v>1642.1100000000001</v>
      </c>
      <c r="AR61" s="245">
        <f t="shared" ref="AR61:BA61" si="46">AR22*(1+$H$41)+$H$42</f>
        <v>1642.1100000000001</v>
      </c>
      <c r="AS61" s="245">
        <f t="shared" si="46"/>
        <v>1642.1100000000001</v>
      </c>
      <c r="AT61" s="245">
        <f t="shared" si="46"/>
        <v>1642.1100000000001</v>
      </c>
      <c r="AU61" s="245">
        <f t="shared" si="46"/>
        <v>1642.1100000000001</v>
      </c>
      <c r="AV61" s="245">
        <f t="shared" si="46"/>
        <v>1642.1100000000001</v>
      </c>
      <c r="AW61" s="245">
        <f t="shared" si="46"/>
        <v>1642.1100000000001</v>
      </c>
      <c r="AX61" s="245">
        <f t="shared" si="46"/>
        <v>1642.1100000000001</v>
      </c>
      <c r="AY61" s="245">
        <f t="shared" si="46"/>
        <v>1642.1100000000001</v>
      </c>
      <c r="AZ61" s="245">
        <f t="shared" si="46"/>
        <v>1642.1100000000001</v>
      </c>
      <c r="BA61" s="245">
        <f t="shared" si="46"/>
        <v>1642.1100000000001</v>
      </c>
      <c r="BB61" s="245">
        <f t="shared" ref="BB61:CI61" si="47">BB22*(1+$H$41)+$H$42</f>
        <v>1642.1100000000001</v>
      </c>
      <c r="BC61" s="245">
        <f t="shared" si="47"/>
        <v>1642.1100000000001</v>
      </c>
      <c r="BD61" s="245">
        <f t="shared" si="47"/>
        <v>1642.1100000000001</v>
      </c>
      <c r="BE61" s="245">
        <f t="shared" si="47"/>
        <v>1642.1100000000001</v>
      </c>
      <c r="BF61" s="245">
        <f t="shared" si="47"/>
        <v>1642.1100000000001</v>
      </c>
      <c r="BG61" s="245">
        <f t="shared" si="47"/>
        <v>1642.1100000000001</v>
      </c>
      <c r="BH61" s="245">
        <f t="shared" si="47"/>
        <v>1642.1100000000001</v>
      </c>
      <c r="BI61" s="245">
        <f t="shared" si="47"/>
        <v>1642.1100000000001</v>
      </c>
      <c r="BJ61" s="245">
        <f t="shared" si="47"/>
        <v>1642.1100000000001</v>
      </c>
      <c r="BK61" s="245">
        <f t="shared" si="47"/>
        <v>1642.1100000000001</v>
      </c>
      <c r="BL61" s="245">
        <f t="shared" si="47"/>
        <v>1642.1100000000001</v>
      </c>
      <c r="BM61" s="245">
        <f t="shared" si="47"/>
        <v>1642.1100000000001</v>
      </c>
      <c r="BN61" s="245">
        <f t="shared" si="47"/>
        <v>1642.1100000000001</v>
      </c>
      <c r="BO61" s="245">
        <f t="shared" si="47"/>
        <v>1642.1100000000001</v>
      </c>
      <c r="BP61" s="245">
        <f t="shared" si="47"/>
        <v>1642.1100000000001</v>
      </c>
      <c r="BQ61" s="245">
        <f t="shared" si="47"/>
        <v>1642.1100000000001</v>
      </c>
      <c r="BR61" s="245">
        <f t="shared" si="47"/>
        <v>1642.1100000000001</v>
      </c>
      <c r="BS61" s="245">
        <f t="shared" si="47"/>
        <v>1642.1100000000001</v>
      </c>
      <c r="BT61" s="245">
        <f t="shared" si="47"/>
        <v>1642.1100000000001</v>
      </c>
      <c r="BU61" s="245">
        <f t="shared" si="47"/>
        <v>1642.1100000000001</v>
      </c>
      <c r="BV61" s="245">
        <f t="shared" si="47"/>
        <v>1642.1100000000001</v>
      </c>
      <c r="BW61" s="245">
        <f t="shared" si="47"/>
        <v>1642.1100000000001</v>
      </c>
      <c r="BX61" s="245">
        <f t="shared" si="47"/>
        <v>1642.1100000000001</v>
      </c>
      <c r="BY61" s="245">
        <f t="shared" si="47"/>
        <v>1642.1100000000001</v>
      </c>
      <c r="BZ61" s="245">
        <f t="shared" si="47"/>
        <v>1642.1100000000001</v>
      </c>
      <c r="CA61" s="245">
        <f t="shared" si="47"/>
        <v>1642.1100000000001</v>
      </c>
      <c r="CB61" s="245">
        <f t="shared" si="47"/>
        <v>1642.1100000000001</v>
      </c>
      <c r="CC61" s="245">
        <f t="shared" si="47"/>
        <v>1642.1100000000001</v>
      </c>
      <c r="CD61" s="245">
        <f t="shared" si="47"/>
        <v>1642.1100000000001</v>
      </c>
      <c r="CE61" s="245">
        <f t="shared" si="47"/>
        <v>1642.1100000000001</v>
      </c>
      <c r="CF61" s="245">
        <f t="shared" si="47"/>
        <v>1642.1100000000001</v>
      </c>
      <c r="CG61" s="245">
        <f t="shared" si="47"/>
        <v>1642.1100000000001</v>
      </c>
      <c r="CH61" s="245">
        <f t="shared" si="47"/>
        <v>1642.1100000000001</v>
      </c>
      <c r="CI61" s="245">
        <f t="shared" si="47"/>
        <v>1642.1100000000001</v>
      </c>
      <c r="CJ61"/>
      <c r="CK61"/>
    </row>
    <row r="62" spans="2:89">
      <c r="B62" s="44" t="s">
        <v>177</v>
      </c>
      <c r="D62" s="245">
        <f t="shared" ref="D62:AQ62" si="48">D23*(1+$I$41)+$I$42</f>
        <v>0</v>
      </c>
      <c r="E62" s="245">
        <f t="shared" si="48"/>
        <v>0</v>
      </c>
      <c r="F62" s="245">
        <f t="shared" si="48"/>
        <v>0</v>
      </c>
      <c r="G62" s="245">
        <f t="shared" si="48"/>
        <v>0</v>
      </c>
      <c r="H62" s="245">
        <f t="shared" si="48"/>
        <v>0</v>
      </c>
      <c r="I62" s="245">
        <f t="shared" si="48"/>
        <v>0</v>
      </c>
      <c r="J62" s="245">
        <f t="shared" si="48"/>
        <v>0</v>
      </c>
      <c r="K62" s="245">
        <f t="shared" si="48"/>
        <v>0</v>
      </c>
      <c r="L62" s="245">
        <f t="shared" si="48"/>
        <v>0</v>
      </c>
      <c r="M62" s="245">
        <f t="shared" si="48"/>
        <v>0</v>
      </c>
      <c r="N62" s="245">
        <f t="shared" si="48"/>
        <v>0</v>
      </c>
      <c r="O62" s="245">
        <f t="shared" si="48"/>
        <v>0</v>
      </c>
      <c r="P62" s="245">
        <f t="shared" si="48"/>
        <v>0</v>
      </c>
      <c r="Q62" s="363">
        <f t="shared" si="48"/>
        <v>0</v>
      </c>
      <c r="R62" s="245">
        <f t="shared" si="48"/>
        <v>0</v>
      </c>
      <c r="S62" s="245">
        <f t="shared" si="48"/>
        <v>0</v>
      </c>
      <c r="T62" s="245">
        <f t="shared" si="48"/>
        <v>0</v>
      </c>
      <c r="U62" s="245">
        <f t="shared" si="48"/>
        <v>0</v>
      </c>
      <c r="V62" s="245">
        <f t="shared" si="48"/>
        <v>0</v>
      </c>
      <c r="W62" s="245">
        <f t="shared" si="48"/>
        <v>0</v>
      </c>
      <c r="X62" s="245">
        <f t="shared" si="48"/>
        <v>0</v>
      </c>
      <c r="Y62" s="245">
        <f t="shared" si="48"/>
        <v>0</v>
      </c>
      <c r="Z62" s="245">
        <f t="shared" si="48"/>
        <v>0</v>
      </c>
      <c r="AA62" s="245">
        <f t="shared" si="48"/>
        <v>0</v>
      </c>
      <c r="AB62" s="245">
        <f t="shared" si="48"/>
        <v>0</v>
      </c>
      <c r="AC62" s="245">
        <f t="shared" si="48"/>
        <v>0</v>
      </c>
      <c r="AD62" s="245">
        <f t="shared" si="48"/>
        <v>0</v>
      </c>
      <c r="AE62" s="245">
        <f t="shared" si="48"/>
        <v>0</v>
      </c>
      <c r="AF62" s="245">
        <f t="shared" si="48"/>
        <v>0</v>
      </c>
      <c r="AG62" s="245">
        <f t="shared" si="48"/>
        <v>0</v>
      </c>
      <c r="AH62" s="245">
        <f t="shared" si="48"/>
        <v>0</v>
      </c>
      <c r="AI62" s="245">
        <f t="shared" si="48"/>
        <v>0</v>
      </c>
      <c r="AJ62" s="245">
        <f t="shared" si="48"/>
        <v>0</v>
      </c>
      <c r="AK62" s="245">
        <f t="shared" si="48"/>
        <v>0</v>
      </c>
      <c r="AL62" s="245">
        <f t="shared" si="48"/>
        <v>0</v>
      </c>
      <c r="AM62" s="245">
        <f t="shared" si="48"/>
        <v>0</v>
      </c>
      <c r="AN62" s="245">
        <f t="shared" si="48"/>
        <v>0</v>
      </c>
      <c r="AO62" s="245">
        <f t="shared" si="48"/>
        <v>0</v>
      </c>
      <c r="AP62" s="245">
        <f t="shared" si="48"/>
        <v>0</v>
      </c>
      <c r="AQ62" s="245">
        <f t="shared" si="48"/>
        <v>0</v>
      </c>
      <c r="AR62" s="245">
        <f t="shared" ref="AR62:BA62" si="49">AR23*(1+$I$41)+$I$42</f>
        <v>0</v>
      </c>
      <c r="AS62" s="245">
        <f t="shared" si="49"/>
        <v>0</v>
      </c>
      <c r="AT62" s="245">
        <f t="shared" si="49"/>
        <v>0</v>
      </c>
      <c r="AU62" s="245">
        <f t="shared" si="49"/>
        <v>0</v>
      </c>
      <c r="AV62" s="245">
        <f t="shared" si="49"/>
        <v>0</v>
      </c>
      <c r="AW62" s="245">
        <f t="shared" si="49"/>
        <v>0</v>
      </c>
      <c r="AX62" s="245">
        <f t="shared" si="49"/>
        <v>0</v>
      </c>
      <c r="AY62" s="245">
        <f t="shared" si="49"/>
        <v>0</v>
      </c>
      <c r="AZ62" s="245">
        <f t="shared" si="49"/>
        <v>0</v>
      </c>
      <c r="BA62" s="245">
        <f t="shared" si="49"/>
        <v>0</v>
      </c>
      <c r="BB62" s="245">
        <f t="shared" ref="BB62:CI62" si="50">BB23*(1+$I$41)+$I$42</f>
        <v>0</v>
      </c>
      <c r="BC62" s="245">
        <f t="shared" si="50"/>
        <v>0</v>
      </c>
      <c r="BD62" s="245">
        <f t="shared" si="50"/>
        <v>0</v>
      </c>
      <c r="BE62" s="245">
        <f t="shared" si="50"/>
        <v>0</v>
      </c>
      <c r="BF62" s="245">
        <f t="shared" si="50"/>
        <v>0</v>
      </c>
      <c r="BG62" s="245">
        <f t="shared" si="50"/>
        <v>0</v>
      </c>
      <c r="BH62" s="245">
        <f t="shared" si="50"/>
        <v>0</v>
      </c>
      <c r="BI62" s="245">
        <f t="shared" si="50"/>
        <v>0</v>
      </c>
      <c r="BJ62" s="245">
        <f t="shared" si="50"/>
        <v>0</v>
      </c>
      <c r="BK62" s="245">
        <f t="shared" si="50"/>
        <v>0</v>
      </c>
      <c r="BL62" s="245">
        <f t="shared" si="50"/>
        <v>0</v>
      </c>
      <c r="BM62" s="245">
        <f t="shared" si="50"/>
        <v>0</v>
      </c>
      <c r="BN62" s="245">
        <f t="shared" si="50"/>
        <v>0</v>
      </c>
      <c r="BO62" s="245">
        <f t="shared" si="50"/>
        <v>0</v>
      </c>
      <c r="BP62" s="245">
        <f t="shared" si="50"/>
        <v>0</v>
      </c>
      <c r="BQ62" s="245">
        <f t="shared" si="50"/>
        <v>0</v>
      </c>
      <c r="BR62" s="245">
        <f t="shared" si="50"/>
        <v>0</v>
      </c>
      <c r="BS62" s="245">
        <f t="shared" si="50"/>
        <v>0</v>
      </c>
      <c r="BT62" s="245">
        <f t="shared" si="50"/>
        <v>0</v>
      </c>
      <c r="BU62" s="245">
        <f t="shared" si="50"/>
        <v>0</v>
      </c>
      <c r="BV62" s="245">
        <f t="shared" si="50"/>
        <v>0</v>
      </c>
      <c r="BW62" s="245">
        <f t="shared" si="50"/>
        <v>0</v>
      </c>
      <c r="BX62" s="245">
        <f t="shared" si="50"/>
        <v>0</v>
      </c>
      <c r="BY62" s="245">
        <f t="shared" si="50"/>
        <v>0</v>
      </c>
      <c r="BZ62" s="245">
        <f t="shared" si="50"/>
        <v>0</v>
      </c>
      <c r="CA62" s="245">
        <f t="shared" si="50"/>
        <v>0</v>
      </c>
      <c r="CB62" s="245">
        <f t="shared" si="50"/>
        <v>0</v>
      </c>
      <c r="CC62" s="245">
        <f t="shared" si="50"/>
        <v>0</v>
      </c>
      <c r="CD62" s="245">
        <f t="shared" si="50"/>
        <v>0</v>
      </c>
      <c r="CE62" s="245">
        <f t="shared" si="50"/>
        <v>0</v>
      </c>
      <c r="CF62" s="245">
        <f t="shared" si="50"/>
        <v>0</v>
      </c>
      <c r="CG62" s="245">
        <f t="shared" si="50"/>
        <v>0</v>
      </c>
      <c r="CH62" s="245">
        <f t="shared" si="50"/>
        <v>0</v>
      </c>
      <c r="CI62" s="245">
        <f t="shared" si="50"/>
        <v>0</v>
      </c>
      <c r="CJ62"/>
      <c r="CK62"/>
    </row>
    <row r="63" spans="2:89">
      <c r="B63" s="98" t="s">
        <v>50</v>
      </c>
      <c r="D63" s="245">
        <f t="shared" ref="D63:AQ63" si="51">D24*(1+$J$41)+$J$42</f>
        <v>0</v>
      </c>
      <c r="E63" s="245">
        <f t="shared" si="51"/>
        <v>0</v>
      </c>
      <c r="F63" s="245">
        <f t="shared" si="51"/>
        <v>0</v>
      </c>
      <c r="G63" s="245">
        <f t="shared" si="51"/>
        <v>0</v>
      </c>
      <c r="H63" s="245">
        <f t="shared" si="51"/>
        <v>0</v>
      </c>
      <c r="I63" s="245">
        <f t="shared" si="51"/>
        <v>0</v>
      </c>
      <c r="J63" s="245">
        <f t="shared" si="51"/>
        <v>0</v>
      </c>
      <c r="K63" s="245">
        <f t="shared" si="51"/>
        <v>0</v>
      </c>
      <c r="L63" s="245">
        <f t="shared" si="51"/>
        <v>0</v>
      </c>
      <c r="M63" s="245">
        <f t="shared" si="51"/>
        <v>0</v>
      </c>
      <c r="N63" s="245">
        <f t="shared" si="51"/>
        <v>0</v>
      </c>
      <c r="O63" s="245">
        <f t="shared" si="51"/>
        <v>0</v>
      </c>
      <c r="P63" s="245">
        <f t="shared" si="51"/>
        <v>0</v>
      </c>
      <c r="Q63" s="363">
        <f t="shared" si="51"/>
        <v>0</v>
      </c>
      <c r="R63" s="245">
        <f t="shared" si="51"/>
        <v>0</v>
      </c>
      <c r="S63" s="245">
        <f t="shared" si="51"/>
        <v>0</v>
      </c>
      <c r="T63" s="245">
        <f t="shared" si="51"/>
        <v>0</v>
      </c>
      <c r="U63" s="245">
        <f t="shared" si="51"/>
        <v>0</v>
      </c>
      <c r="V63" s="245">
        <f t="shared" si="51"/>
        <v>0</v>
      </c>
      <c r="W63" s="245">
        <f t="shared" si="51"/>
        <v>0</v>
      </c>
      <c r="X63" s="245">
        <f t="shared" si="51"/>
        <v>0</v>
      </c>
      <c r="Y63" s="245">
        <f t="shared" si="51"/>
        <v>0</v>
      </c>
      <c r="Z63" s="245">
        <f t="shared" si="51"/>
        <v>0</v>
      </c>
      <c r="AA63" s="245">
        <f t="shared" si="51"/>
        <v>0</v>
      </c>
      <c r="AB63" s="245">
        <f t="shared" si="51"/>
        <v>0</v>
      </c>
      <c r="AC63" s="245">
        <f t="shared" si="51"/>
        <v>0</v>
      </c>
      <c r="AD63" s="245">
        <f t="shared" si="51"/>
        <v>0</v>
      </c>
      <c r="AE63" s="245">
        <f t="shared" si="51"/>
        <v>0</v>
      </c>
      <c r="AF63" s="245">
        <f t="shared" si="51"/>
        <v>0</v>
      </c>
      <c r="AG63" s="245">
        <f t="shared" si="51"/>
        <v>0</v>
      </c>
      <c r="AH63" s="245">
        <f t="shared" si="51"/>
        <v>0</v>
      </c>
      <c r="AI63" s="245">
        <f t="shared" si="51"/>
        <v>0</v>
      </c>
      <c r="AJ63" s="245">
        <f t="shared" si="51"/>
        <v>0</v>
      </c>
      <c r="AK63" s="245">
        <f t="shared" si="51"/>
        <v>0</v>
      </c>
      <c r="AL63" s="245">
        <f t="shared" si="51"/>
        <v>0</v>
      </c>
      <c r="AM63" s="245">
        <f t="shared" si="51"/>
        <v>0</v>
      </c>
      <c r="AN63" s="245">
        <f t="shared" si="51"/>
        <v>0</v>
      </c>
      <c r="AO63" s="245">
        <f t="shared" si="51"/>
        <v>0</v>
      </c>
      <c r="AP63" s="245">
        <f t="shared" si="51"/>
        <v>0</v>
      </c>
      <c r="AQ63" s="245">
        <f t="shared" si="51"/>
        <v>0</v>
      </c>
      <c r="AR63" s="245">
        <f t="shared" ref="AR63:BA63" si="52">AR24*(1+$J$41)+$J$42</f>
        <v>0</v>
      </c>
      <c r="AS63" s="245">
        <f t="shared" si="52"/>
        <v>0</v>
      </c>
      <c r="AT63" s="245">
        <f t="shared" si="52"/>
        <v>0</v>
      </c>
      <c r="AU63" s="245">
        <f t="shared" si="52"/>
        <v>0</v>
      </c>
      <c r="AV63" s="245">
        <f t="shared" si="52"/>
        <v>0</v>
      </c>
      <c r="AW63" s="245">
        <f t="shared" si="52"/>
        <v>0</v>
      </c>
      <c r="AX63" s="245">
        <f t="shared" si="52"/>
        <v>0</v>
      </c>
      <c r="AY63" s="245">
        <f t="shared" si="52"/>
        <v>0</v>
      </c>
      <c r="AZ63" s="245">
        <f t="shared" si="52"/>
        <v>0</v>
      </c>
      <c r="BA63" s="245">
        <f t="shared" si="52"/>
        <v>0</v>
      </c>
      <c r="BB63" s="245">
        <f t="shared" ref="BB63:CI63" si="53">BB24*(1+$J$41)+$J$42</f>
        <v>0</v>
      </c>
      <c r="BC63" s="245">
        <f t="shared" si="53"/>
        <v>0</v>
      </c>
      <c r="BD63" s="245">
        <f t="shared" si="53"/>
        <v>0</v>
      </c>
      <c r="BE63" s="245">
        <f t="shared" si="53"/>
        <v>0</v>
      </c>
      <c r="BF63" s="245">
        <f t="shared" si="53"/>
        <v>0</v>
      </c>
      <c r="BG63" s="245">
        <f t="shared" si="53"/>
        <v>0</v>
      </c>
      <c r="BH63" s="245">
        <f t="shared" si="53"/>
        <v>0</v>
      </c>
      <c r="BI63" s="245">
        <f t="shared" si="53"/>
        <v>0</v>
      </c>
      <c r="BJ63" s="245">
        <f t="shared" si="53"/>
        <v>0</v>
      </c>
      <c r="BK63" s="245">
        <f t="shared" si="53"/>
        <v>0</v>
      </c>
      <c r="BL63" s="245">
        <f t="shared" si="53"/>
        <v>0</v>
      </c>
      <c r="BM63" s="245">
        <f t="shared" si="53"/>
        <v>0</v>
      </c>
      <c r="BN63" s="245">
        <f t="shared" si="53"/>
        <v>0</v>
      </c>
      <c r="BO63" s="245">
        <f t="shared" si="53"/>
        <v>0</v>
      </c>
      <c r="BP63" s="245">
        <f t="shared" si="53"/>
        <v>0</v>
      </c>
      <c r="BQ63" s="245">
        <f t="shared" si="53"/>
        <v>0</v>
      </c>
      <c r="BR63" s="245">
        <f t="shared" si="53"/>
        <v>0</v>
      </c>
      <c r="BS63" s="245">
        <f t="shared" si="53"/>
        <v>0</v>
      </c>
      <c r="BT63" s="245">
        <f t="shared" si="53"/>
        <v>0</v>
      </c>
      <c r="BU63" s="245">
        <f t="shared" si="53"/>
        <v>0</v>
      </c>
      <c r="BV63" s="245">
        <f t="shared" si="53"/>
        <v>0</v>
      </c>
      <c r="BW63" s="245">
        <f t="shared" si="53"/>
        <v>0</v>
      </c>
      <c r="BX63" s="245">
        <f t="shared" si="53"/>
        <v>0</v>
      </c>
      <c r="BY63" s="245">
        <f t="shared" si="53"/>
        <v>0</v>
      </c>
      <c r="BZ63" s="245">
        <f t="shared" si="53"/>
        <v>0</v>
      </c>
      <c r="CA63" s="245">
        <f t="shared" si="53"/>
        <v>0</v>
      </c>
      <c r="CB63" s="245">
        <f t="shared" si="53"/>
        <v>0</v>
      </c>
      <c r="CC63" s="245">
        <f t="shared" si="53"/>
        <v>0</v>
      </c>
      <c r="CD63" s="245">
        <f t="shared" si="53"/>
        <v>0</v>
      </c>
      <c r="CE63" s="245">
        <f t="shared" si="53"/>
        <v>0</v>
      </c>
      <c r="CF63" s="245">
        <f t="shared" si="53"/>
        <v>0</v>
      </c>
      <c r="CG63" s="245">
        <f t="shared" si="53"/>
        <v>0</v>
      </c>
      <c r="CH63" s="245">
        <f t="shared" si="53"/>
        <v>0</v>
      </c>
      <c r="CI63" s="245">
        <f t="shared" si="53"/>
        <v>0</v>
      </c>
      <c r="CJ63"/>
      <c r="CK63"/>
    </row>
    <row r="64" spans="2:89">
      <c r="B64" s="44" t="s">
        <v>237</v>
      </c>
      <c r="D64" s="245">
        <f t="shared" ref="D64:AQ64" si="54">D25*(1+$K$41)+$K$42</f>
        <v>1021.08</v>
      </c>
      <c r="E64" s="245">
        <f t="shared" si="54"/>
        <v>1021.08</v>
      </c>
      <c r="F64" s="245">
        <f t="shared" si="54"/>
        <v>1021.08</v>
      </c>
      <c r="G64" s="245">
        <f t="shared" si="54"/>
        <v>1021.08</v>
      </c>
      <c r="H64" s="245">
        <f t="shared" si="54"/>
        <v>1021.08</v>
      </c>
      <c r="I64" s="245">
        <f t="shared" si="54"/>
        <v>1021.08</v>
      </c>
      <c r="J64" s="245">
        <f t="shared" si="54"/>
        <v>1021.08</v>
      </c>
      <c r="K64" s="245">
        <f t="shared" si="54"/>
        <v>1021.08</v>
      </c>
      <c r="L64" s="245">
        <f t="shared" si="54"/>
        <v>1021.08</v>
      </c>
      <c r="M64" s="245">
        <f t="shared" si="54"/>
        <v>1021.08</v>
      </c>
      <c r="N64" s="245">
        <f t="shared" si="54"/>
        <v>1021.08</v>
      </c>
      <c r="O64" s="245">
        <f t="shared" si="54"/>
        <v>1021.08</v>
      </c>
      <c r="P64" s="245">
        <f t="shared" si="54"/>
        <v>1021.08</v>
      </c>
      <c r="Q64" s="363">
        <f t="shared" si="54"/>
        <v>1021.08</v>
      </c>
      <c r="R64" s="245">
        <f t="shared" si="54"/>
        <v>1021.08</v>
      </c>
      <c r="S64" s="245">
        <f t="shared" si="54"/>
        <v>1021.08</v>
      </c>
      <c r="T64" s="245">
        <f t="shared" si="54"/>
        <v>1021.08</v>
      </c>
      <c r="U64" s="245">
        <f t="shared" si="54"/>
        <v>1021.08</v>
      </c>
      <c r="V64" s="245">
        <f t="shared" si="54"/>
        <v>1021.08</v>
      </c>
      <c r="W64" s="245">
        <f t="shared" si="54"/>
        <v>1021.08</v>
      </c>
      <c r="X64" s="245">
        <f t="shared" si="54"/>
        <v>1021.08</v>
      </c>
      <c r="Y64" s="245">
        <f t="shared" si="54"/>
        <v>1021.08</v>
      </c>
      <c r="Z64" s="245">
        <f t="shared" si="54"/>
        <v>1021.08</v>
      </c>
      <c r="AA64" s="245">
        <f t="shared" si="54"/>
        <v>1021.08</v>
      </c>
      <c r="AB64" s="245">
        <f t="shared" si="54"/>
        <v>1021.08</v>
      </c>
      <c r="AC64" s="245">
        <f t="shared" si="54"/>
        <v>1021.08</v>
      </c>
      <c r="AD64" s="245">
        <f t="shared" si="54"/>
        <v>1021.08</v>
      </c>
      <c r="AE64" s="245">
        <f t="shared" si="54"/>
        <v>1021.08</v>
      </c>
      <c r="AF64" s="245">
        <f t="shared" si="54"/>
        <v>1021.08</v>
      </c>
      <c r="AG64" s="245">
        <f t="shared" si="54"/>
        <v>1021.08</v>
      </c>
      <c r="AH64" s="245">
        <f t="shared" si="54"/>
        <v>1021.08</v>
      </c>
      <c r="AI64" s="245">
        <f t="shared" si="54"/>
        <v>1021.08</v>
      </c>
      <c r="AJ64" s="245">
        <f t="shared" si="54"/>
        <v>1021.08</v>
      </c>
      <c r="AK64" s="245">
        <f t="shared" si="54"/>
        <v>1021.08</v>
      </c>
      <c r="AL64" s="245">
        <f t="shared" si="54"/>
        <v>1021.08</v>
      </c>
      <c r="AM64" s="245">
        <f t="shared" si="54"/>
        <v>1021.08</v>
      </c>
      <c r="AN64" s="245">
        <f t="shared" si="54"/>
        <v>1021.08</v>
      </c>
      <c r="AO64" s="245">
        <f t="shared" si="54"/>
        <v>1021.08</v>
      </c>
      <c r="AP64" s="245">
        <f t="shared" si="54"/>
        <v>1021.08</v>
      </c>
      <c r="AQ64" s="245">
        <f t="shared" si="54"/>
        <v>1021.08</v>
      </c>
      <c r="AR64" s="245">
        <f t="shared" ref="AR64:BA64" si="55">AR25*(1+$K$41)+$K$42</f>
        <v>1021.08</v>
      </c>
      <c r="AS64" s="245">
        <f t="shared" si="55"/>
        <v>1021.08</v>
      </c>
      <c r="AT64" s="245">
        <f t="shared" si="55"/>
        <v>1021.08</v>
      </c>
      <c r="AU64" s="245">
        <f t="shared" si="55"/>
        <v>1021.08</v>
      </c>
      <c r="AV64" s="245">
        <f t="shared" si="55"/>
        <v>1021.08</v>
      </c>
      <c r="AW64" s="245">
        <f t="shared" si="55"/>
        <v>1021.08</v>
      </c>
      <c r="AX64" s="245">
        <f t="shared" si="55"/>
        <v>1021.08</v>
      </c>
      <c r="AY64" s="245">
        <f t="shared" si="55"/>
        <v>1021.08</v>
      </c>
      <c r="AZ64" s="245">
        <f t="shared" si="55"/>
        <v>1021.08</v>
      </c>
      <c r="BA64" s="245">
        <f t="shared" si="55"/>
        <v>1021.08</v>
      </c>
      <c r="BB64" s="245">
        <f t="shared" ref="BB64:CI64" si="56">BB25*(1+$K$41)+$K$42</f>
        <v>1021.08</v>
      </c>
      <c r="BC64" s="245">
        <f t="shared" si="56"/>
        <v>1021.08</v>
      </c>
      <c r="BD64" s="245">
        <f t="shared" si="56"/>
        <v>1021.08</v>
      </c>
      <c r="BE64" s="245">
        <f t="shared" si="56"/>
        <v>1021.08</v>
      </c>
      <c r="BF64" s="245">
        <f t="shared" si="56"/>
        <v>1021.08</v>
      </c>
      <c r="BG64" s="245">
        <f t="shared" si="56"/>
        <v>1021.08</v>
      </c>
      <c r="BH64" s="245">
        <f t="shared" si="56"/>
        <v>1021.08</v>
      </c>
      <c r="BI64" s="245">
        <f t="shared" si="56"/>
        <v>1021.08</v>
      </c>
      <c r="BJ64" s="245">
        <f t="shared" si="56"/>
        <v>1021.08</v>
      </c>
      <c r="BK64" s="245">
        <f t="shared" si="56"/>
        <v>1021.08</v>
      </c>
      <c r="BL64" s="245">
        <f t="shared" si="56"/>
        <v>1021.08</v>
      </c>
      <c r="BM64" s="245">
        <f t="shared" si="56"/>
        <v>1021.08</v>
      </c>
      <c r="BN64" s="245">
        <f t="shared" si="56"/>
        <v>1021.08</v>
      </c>
      <c r="BO64" s="245">
        <f t="shared" si="56"/>
        <v>1021.08</v>
      </c>
      <c r="BP64" s="245">
        <f t="shared" si="56"/>
        <v>1021.08</v>
      </c>
      <c r="BQ64" s="245">
        <f t="shared" si="56"/>
        <v>1021.08</v>
      </c>
      <c r="BR64" s="245">
        <f t="shared" si="56"/>
        <v>1021.08</v>
      </c>
      <c r="BS64" s="245">
        <f t="shared" si="56"/>
        <v>1021.08</v>
      </c>
      <c r="BT64" s="245">
        <f t="shared" si="56"/>
        <v>1021.08</v>
      </c>
      <c r="BU64" s="245">
        <f t="shared" si="56"/>
        <v>1021.08</v>
      </c>
      <c r="BV64" s="245">
        <f t="shared" si="56"/>
        <v>1021.08</v>
      </c>
      <c r="BW64" s="245">
        <f t="shared" si="56"/>
        <v>1021.08</v>
      </c>
      <c r="BX64" s="245">
        <f t="shared" si="56"/>
        <v>1021.08</v>
      </c>
      <c r="BY64" s="245">
        <f t="shared" si="56"/>
        <v>1021.08</v>
      </c>
      <c r="BZ64" s="245">
        <f t="shared" si="56"/>
        <v>1021.08</v>
      </c>
      <c r="CA64" s="245">
        <f t="shared" si="56"/>
        <v>1021.08</v>
      </c>
      <c r="CB64" s="245">
        <f t="shared" si="56"/>
        <v>1021.08</v>
      </c>
      <c r="CC64" s="245">
        <f t="shared" si="56"/>
        <v>1021.08</v>
      </c>
      <c r="CD64" s="245">
        <f t="shared" si="56"/>
        <v>1021.08</v>
      </c>
      <c r="CE64" s="245">
        <f t="shared" si="56"/>
        <v>1021.08</v>
      </c>
      <c r="CF64" s="245">
        <f t="shared" si="56"/>
        <v>1021.08</v>
      </c>
      <c r="CG64" s="245">
        <f t="shared" si="56"/>
        <v>1021.08</v>
      </c>
      <c r="CH64" s="245">
        <f t="shared" si="56"/>
        <v>1021.08</v>
      </c>
      <c r="CI64" s="245">
        <f t="shared" si="56"/>
        <v>1021.08</v>
      </c>
      <c r="CJ64"/>
      <c r="CK64"/>
    </row>
    <row r="65" spans="2:89">
      <c r="B65" s="44" t="s">
        <v>516</v>
      </c>
      <c r="D65" s="245">
        <f t="shared" ref="D65:AQ65" si="57">D26*(1+$L$41)+$L$42</f>
        <v>963.93000000000006</v>
      </c>
      <c r="E65" s="245">
        <f t="shared" si="57"/>
        <v>963.93000000000006</v>
      </c>
      <c r="F65" s="245">
        <f t="shared" si="57"/>
        <v>963.93000000000006</v>
      </c>
      <c r="G65" s="245">
        <f t="shared" si="57"/>
        <v>963.93000000000006</v>
      </c>
      <c r="H65" s="245">
        <f t="shared" si="57"/>
        <v>963.93000000000006</v>
      </c>
      <c r="I65" s="245">
        <f t="shared" si="57"/>
        <v>963.93000000000006</v>
      </c>
      <c r="J65" s="245">
        <f t="shared" si="57"/>
        <v>963.93000000000006</v>
      </c>
      <c r="K65" s="245">
        <f t="shared" si="57"/>
        <v>963.93000000000006</v>
      </c>
      <c r="L65" s="245">
        <f t="shared" si="57"/>
        <v>963.93000000000006</v>
      </c>
      <c r="M65" s="245">
        <f t="shared" si="57"/>
        <v>963.93000000000006</v>
      </c>
      <c r="N65" s="245">
        <f t="shared" si="57"/>
        <v>963.93000000000006</v>
      </c>
      <c r="O65" s="245">
        <f t="shared" si="57"/>
        <v>963.93000000000006</v>
      </c>
      <c r="P65" s="245">
        <f t="shared" si="57"/>
        <v>963.93000000000006</v>
      </c>
      <c r="Q65" s="363">
        <f t="shared" si="57"/>
        <v>963.93000000000006</v>
      </c>
      <c r="R65" s="245">
        <f t="shared" si="57"/>
        <v>963.93000000000006</v>
      </c>
      <c r="S65" s="245">
        <f t="shared" si="57"/>
        <v>963.93000000000006</v>
      </c>
      <c r="T65" s="245">
        <f t="shared" si="57"/>
        <v>963.93000000000006</v>
      </c>
      <c r="U65" s="245">
        <f t="shared" si="57"/>
        <v>963.93000000000006</v>
      </c>
      <c r="V65" s="245">
        <f t="shared" si="57"/>
        <v>963.93000000000006</v>
      </c>
      <c r="W65" s="245">
        <f t="shared" si="57"/>
        <v>963.93000000000006</v>
      </c>
      <c r="X65" s="245">
        <f t="shared" si="57"/>
        <v>963.93000000000006</v>
      </c>
      <c r="Y65" s="245">
        <f t="shared" si="57"/>
        <v>963.93000000000006</v>
      </c>
      <c r="Z65" s="245">
        <f t="shared" si="57"/>
        <v>963.93000000000006</v>
      </c>
      <c r="AA65" s="245">
        <f t="shared" si="57"/>
        <v>963.93000000000006</v>
      </c>
      <c r="AB65" s="245">
        <f t="shared" si="57"/>
        <v>963.93000000000006</v>
      </c>
      <c r="AC65" s="245">
        <f t="shared" si="57"/>
        <v>963.93000000000006</v>
      </c>
      <c r="AD65" s="245">
        <f t="shared" si="57"/>
        <v>963.93000000000006</v>
      </c>
      <c r="AE65" s="245">
        <f t="shared" si="57"/>
        <v>963.93000000000006</v>
      </c>
      <c r="AF65" s="245">
        <f t="shared" si="57"/>
        <v>963.93000000000006</v>
      </c>
      <c r="AG65" s="245">
        <f t="shared" si="57"/>
        <v>963.93000000000006</v>
      </c>
      <c r="AH65" s="245">
        <f t="shared" si="57"/>
        <v>963.93000000000006</v>
      </c>
      <c r="AI65" s="245">
        <f t="shared" si="57"/>
        <v>963.93000000000006</v>
      </c>
      <c r="AJ65" s="245">
        <f t="shared" si="57"/>
        <v>963.93000000000006</v>
      </c>
      <c r="AK65" s="245">
        <f t="shared" si="57"/>
        <v>963.93000000000006</v>
      </c>
      <c r="AL65" s="245">
        <f t="shared" si="57"/>
        <v>963.93000000000006</v>
      </c>
      <c r="AM65" s="245">
        <f t="shared" si="57"/>
        <v>963.93000000000006</v>
      </c>
      <c r="AN65" s="245">
        <f t="shared" si="57"/>
        <v>963.93000000000006</v>
      </c>
      <c r="AO65" s="245">
        <f t="shared" si="57"/>
        <v>963.93000000000006</v>
      </c>
      <c r="AP65" s="245">
        <f t="shared" si="57"/>
        <v>963.93000000000006</v>
      </c>
      <c r="AQ65" s="245">
        <f t="shared" si="57"/>
        <v>963.93000000000006</v>
      </c>
      <c r="AR65" s="245">
        <f t="shared" ref="AR65:BA65" si="58">AR26*(1+$L$41)+$L$42</f>
        <v>963.93000000000006</v>
      </c>
      <c r="AS65" s="245">
        <f t="shared" si="58"/>
        <v>963.93000000000006</v>
      </c>
      <c r="AT65" s="245">
        <f t="shared" si="58"/>
        <v>963.93000000000006</v>
      </c>
      <c r="AU65" s="245">
        <f t="shared" si="58"/>
        <v>963.93000000000006</v>
      </c>
      <c r="AV65" s="245">
        <f t="shared" si="58"/>
        <v>963.93000000000006</v>
      </c>
      <c r="AW65" s="245">
        <f t="shared" si="58"/>
        <v>963.93000000000006</v>
      </c>
      <c r="AX65" s="245">
        <f t="shared" si="58"/>
        <v>963.93000000000006</v>
      </c>
      <c r="AY65" s="245">
        <f t="shared" si="58"/>
        <v>963.93000000000006</v>
      </c>
      <c r="AZ65" s="245">
        <f t="shared" si="58"/>
        <v>963.93000000000006</v>
      </c>
      <c r="BA65" s="245">
        <f t="shared" si="58"/>
        <v>963.93000000000006</v>
      </c>
      <c r="BB65" s="245">
        <f t="shared" ref="BB65:CI65" si="59">BB26*(1+$L$41)+$L$42</f>
        <v>963.93000000000006</v>
      </c>
      <c r="BC65" s="245">
        <f t="shared" si="59"/>
        <v>963.93000000000006</v>
      </c>
      <c r="BD65" s="245">
        <f t="shared" si="59"/>
        <v>963.93000000000006</v>
      </c>
      <c r="BE65" s="245">
        <f t="shared" si="59"/>
        <v>963.93000000000006</v>
      </c>
      <c r="BF65" s="245">
        <f t="shared" si="59"/>
        <v>963.93000000000006</v>
      </c>
      <c r="BG65" s="245">
        <f t="shared" si="59"/>
        <v>963.93000000000006</v>
      </c>
      <c r="BH65" s="245">
        <f t="shared" si="59"/>
        <v>963.93000000000006</v>
      </c>
      <c r="BI65" s="245">
        <f t="shared" si="59"/>
        <v>963.93000000000006</v>
      </c>
      <c r="BJ65" s="245">
        <f t="shared" si="59"/>
        <v>963.93000000000006</v>
      </c>
      <c r="BK65" s="245">
        <f t="shared" si="59"/>
        <v>963.93000000000006</v>
      </c>
      <c r="BL65" s="245">
        <f t="shared" si="59"/>
        <v>963.93000000000006</v>
      </c>
      <c r="BM65" s="245">
        <f t="shared" si="59"/>
        <v>963.93000000000006</v>
      </c>
      <c r="BN65" s="245">
        <f t="shared" si="59"/>
        <v>963.93000000000006</v>
      </c>
      <c r="BO65" s="245">
        <f t="shared" si="59"/>
        <v>963.93000000000006</v>
      </c>
      <c r="BP65" s="245">
        <f t="shared" si="59"/>
        <v>963.93000000000006</v>
      </c>
      <c r="BQ65" s="245">
        <f t="shared" si="59"/>
        <v>963.93000000000006</v>
      </c>
      <c r="BR65" s="245">
        <f t="shared" si="59"/>
        <v>963.93000000000006</v>
      </c>
      <c r="BS65" s="245">
        <f t="shared" si="59"/>
        <v>963.93000000000006</v>
      </c>
      <c r="BT65" s="245">
        <f t="shared" si="59"/>
        <v>963.93000000000006</v>
      </c>
      <c r="BU65" s="245">
        <f t="shared" si="59"/>
        <v>963.93000000000006</v>
      </c>
      <c r="BV65" s="245">
        <f t="shared" si="59"/>
        <v>963.93000000000006</v>
      </c>
      <c r="BW65" s="245">
        <f t="shared" si="59"/>
        <v>963.93000000000006</v>
      </c>
      <c r="BX65" s="245">
        <f t="shared" si="59"/>
        <v>963.93000000000006</v>
      </c>
      <c r="BY65" s="245">
        <f t="shared" si="59"/>
        <v>963.93000000000006</v>
      </c>
      <c r="BZ65" s="245">
        <f t="shared" si="59"/>
        <v>963.93000000000006</v>
      </c>
      <c r="CA65" s="245">
        <f t="shared" si="59"/>
        <v>963.93000000000006</v>
      </c>
      <c r="CB65" s="245">
        <f t="shared" si="59"/>
        <v>963.93000000000006</v>
      </c>
      <c r="CC65" s="245">
        <f t="shared" si="59"/>
        <v>963.93000000000006</v>
      </c>
      <c r="CD65" s="245">
        <f t="shared" si="59"/>
        <v>963.93000000000006</v>
      </c>
      <c r="CE65" s="245">
        <f t="shared" si="59"/>
        <v>963.93000000000006</v>
      </c>
      <c r="CF65" s="245">
        <f t="shared" si="59"/>
        <v>963.93000000000006</v>
      </c>
      <c r="CG65" s="245">
        <f t="shared" si="59"/>
        <v>963.93000000000006</v>
      </c>
      <c r="CH65" s="245">
        <f t="shared" si="59"/>
        <v>963.93000000000006</v>
      </c>
      <c r="CI65" s="245">
        <f t="shared" si="59"/>
        <v>963.93000000000006</v>
      </c>
      <c r="CJ65"/>
      <c r="CK65"/>
    </row>
    <row r="66" spans="2:89">
      <c r="D66" s="249"/>
      <c r="E66" s="249"/>
      <c r="F66" s="249"/>
      <c r="G66" s="249"/>
      <c r="H66" s="249"/>
      <c r="I66" s="249"/>
      <c r="J66" s="249"/>
      <c r="K66" s="249"/>
      <c r="L66" s="249"/>
      <c r="M66" s="249"/>
      <c r="N66" s="249"/>
      <c r="O66" s="249"/>
      <c r="P66" s="249"/>
      <c r="Q66" s="364"/>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49"/>
      <c r="BC66" s="249"/>
      <c r="BD66" s="249"/>
      <c r="BE66" s="249"/>
      <c r="BF66" s="249"/>
      <c r="BG66" s="249"/>
      <c r="BH66" s="249"/>
      <c r="BI66" s="249"/>
      <c r="BJ66" s="249"/>
      <c r="BK66" s="249"/>
      <c r="BL66" s="249"/>
      <c r="BM66" s="249"/>
      <c r="BN66" s="249"/>
      <c r="BO66" s="249"/>
      <c r="BP66" s="249"/>
      <c r="BQ66" s="249"/>
      <c r="BR66" s="249"/>
      <c r="BS66" s="249"/>
      <c r="BT66" s="249"/>
      <c r="BU66" s="249"/>
      <c r="BV66" s="249"/>
      <c r="BW66" s="249"/>
      <c r="BX66" s="249"/>
      <c r="BY66" s="249"/>
      <c r="BZ66" s="249"/>
      <c r="CA66" s="249"/>
      <c r="CB66" s="249"/>
      <c r="CC66" s="249"/>
      <c r="CD66" s="249"/>
      <c r="CE66" s="249"/>
      <c r="CF66" s="249"/>
      <c r="CG66" s="249"/>
      <c r="CH66" s="249"/>
      <c r="CI66" s="249"/>
      <c r="CJ66"/>
      <c r="CK66"/>
    </row>
    <row r="67" spans="2:89">
      <c r="B67" s="104" t="s">
        <v>618</v>
      </c>
      <c r="D67" s="249"/>
      <c r="E67" s="249"/>
      <c r="F67" s="249"/>
      <c r="G67" s="249"/>
      <c r="H67" s="249"/>
      <c r="I67" s="249"/>
      <c r="J67" s="249"/>
      <c r="K67" s="249"/>
      <c r="L67" s="249"/>
      <c r="M67" s="249"/>
      <c r="N67" s="249"/>
      <c r="O67" s="249"/>
      <c r="P67" s="249"/>
      <c r="Q67" s="364"/>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49"/>
      <c r="BW67" s="249"/>
      <c r="BX67" s="249"/>
      <c r="BY67" s="249"/>
      <c r="BZ67" s="249"/>
      <c r="CA67" s="249"/>
      <c r="CB67" s="249"/>
      <c r="CC67" s="249"/>
      <c r="CD67" s="249"/>
      <c r="CE67" s="249"/>
      <c r="CF67" s="249"/>
      <c r="CG67" s="249"/>
      <c r="CH67" s="249"/>
      <c r="CI67" s="249"/>
      <c r="CJ67"/>
      <c r="CK67"/>
    </row>
    <row r="68" spans="2:89">
      <c r="B68" s="508" t="s">
        <v>172</v>
      </c>
      <c r="D68" s="522">
        <f>H94</f>
        <v>-5.5667824715399661E-4</v>
      </c>
      <c r="E68" s="522">
        <f>D68*(1+'2.  Scheme Wide'!$E$46)</f>
        <v>-5.5667824715399661E-4</v>
      </c>
      <c r="F68" s="522">
        <f>E68*(1+'2.  Scheme Wide'!$E$46)</f>
        <v>-5.5667824715399661E-4</v>
      </c>
      <c r="G68" s="522">
        <f>F68*(1+'2.  Scheme Wide'!$E$46)</f>
        <v>-5.5667824715399661E-4</v>
      </c>
      <c r="H68" s="522">
        <f>G68*(1+'2.  Scheme Wide'!$E$46)</f>
        <v>-5.5667824715399661E-4</v>
      </c>
      <c r="I68" s="522">
        <f>H68*(1+'2.  Scheme Wide'!$E$46)</f>
        <v>-5.5667824715399661E-4</v>
      </c>
      <c r="J68" s="522">
        <f>I68*(1+'2.  Scheme Wide'!$E$46)</f>
        <v>-5.5667824715399661E-4</v>
      </c>
      <c r="K68" s="522">
        <f>J68*(1+'2.  Scheme Wide'!$E$46)</f>
        <v>-5.5667824715399661E-4</v>
      </c>
      <c r="L68" s="522">
        <f>K68*(1+'2.  Scheme Wide'!$E$46)</f>
        <v>-5.5667824715399661E-4</v>
      </c>
      <c r="M68" s="522">
        <f>L68*(1+'2.  Scheme Wide'!$E$46)</f>
        <v>-5.5667824715399661E-4</v>
      </c>
      <c r="N68" s="522">
        <f>M68*(1+'2.  Scheme Wide'!$E$46)</f>
        <v>-5.5667824715399661E-4</v>
      </c>
      <c r="O68" s="522">
        <f>N68*(1+'2.  Scheme Wide'!$E$46)</f>
        <v>-5.5667824715399661E-4</v>
      </c>
      <c r="P68" s="522">
        <f>O68*(1+'2.  Scheme Wide'!$E$46)</f>
        <v>-5.5667824715399661E-4</v>
      </c>
      <c r="Q68" s="522">
        <f>P68*(1+'2.  Scheme Wide'!$E$46)</f>
        <v>-5.5667824715399661E-4</v>
      </c>
      <c r="R68" s="522">
        <f>Q68*(1+'2.  Scheme Wide'!$E$46)</f>
        <v>-5.5667824715399661E-4</v>
      </c>
      <c r="S68" s="522">
        <f>R68*(1+'2.  Scheme Wide'!$E$46)</f>
        <v>-5.5667824715399661E-4</v>
      </c>
      <c r="T68" s="522">
        <f>S68*(1+'2.  Scheme Wide'!$E$46)</f>
        <v>-5.5667824715399661E-4</v>
      </c>
      <c r="U68" s="522">
        <f>T68*(1+'2.  Scheme Wide'!$E$46)</f>
        <v>-5.5667824715399661E-4</v>
      </c>
      <c r="V68" s="522">
        <f>U68*(1+'2.  Scheme Wide'!$E$46)</f>
        <v>-5.5667824715399661E-4</v>
      </c>
      <c r="W68" s="522">
        <f>V68*(1+'2.  Scheme Wide'!$E$46)</f>
        <v>-5.5667824715399661E-4</v>
      </c>
      <c r="X68" s="522">
        <f>W68*(1+'2.  Scheme Wide'!$E$46)</f>
        <v>-5.5667824715399661E-4</v>
      </c>
      <c r="Y68" s="522">
        <f>X68*(1+'2.  Scheme Wide'!$E$46)</f>
        <v>-5.5667824715399661E-4</v>
      </c>
      <c r="Z68" s="522">
        <f>Y68*(1+'2.  Scheme Wide'!$E$46)</f>
        <v>-5.5667824715399661E-4</v>
      </c>
      <c r="AA68" s="522">
        <f>Z68*(1+'2.  Scheme Wide'!$E$46)</f>
        <v>-5.5667824715399661E-4</v>
      </c>
      <c r="AB68" s="522">
        <f>AA68*(1+'2.  Scheme Wide'!$E$46)</f>
        <v>-5.5667824715399661E-4</v>
      </c>
      <c r="AC68" s="522">
        <f>AB68*(1+'2.  Scheme Wide'!$E$46)</f>
        <v>-5.5667824715399661E-4</v>
      </c>
      <c r="AD68" s="522">
        <f>AC68*(1+'2.  Scheme Wide'!$E$46)</f>
        <v>-5.5667824715399661E-4</v>
      </c>
      <c r="AE68" s="522">
        <f>AD68*(1+'2.  Scheme Wide'!$E$46)</f>
        <v>-5.5667824715399661E-4</v>
      </c>
      <c r="AF68" s="522">
        <f>AE68*(1+'2.  Scheme Wide'!$E$46)</f>
        <v>-5.5667824715399661E-4</v>
      </c>
      <c r="AG68" s="522">
        <f>AF68*(1+'2.  Scheme Wide'!$E$46)</f>
        <v>-5.5667824715399661E-4</v>
      </c>
      <c r="AH68" s="522">
        <f>AG68*(1+'2.  Scheme Wide'!$E$46)</f>
        <v>-5.5667824715399661E-4</v>
      </c>
      <c r="AI68" s="522">
        <f>AH68*(1+'2.  Scheme Wide'!$E$46)</f>
        <v>-5.5667824715399661E-4</v>
      </c>
      <c r="AJ68" s="522">
        <f>AI68*(1+'2.  Scheme Wide'!$E$46)</f>
        <v>-5.5667824715399661E-4</v>
      </c>
      <c r="AK68" s="522">
        <f>AJ68*(1+'2.  Scheme Wide'!$E$46)</f>
        <v>-5.5667824715399661E-4</v>
      </c>
      <c r="AL68" s="522">
        <f>AK68*(1+'2.  Scheme Wide'!$E$46)</f>
        <v>-5.5667824715399661E-4</v>
      </c>
      <c r="AM68" s="522">
        <f>AL68*(1+'2.  Scheme Wide'!$E$46)</f>
        <v>-5.5667824715399661E-4</v>
      </c>
      <c r="AN68" s="522">
        <f>AM68*(1+'2.  Scheme Wide'!$E$46)</f>
        <v>-5.5667824715399661E-4</v>
      </c>
      <c r="AO68" s="522">
        <f>AN68*(1+'2.  Scheme Wide'!$E$46)</f>
        <v>-5.5667824715399661E-4</v>
      </c>
      <c r="AP68" s="522">
        <f>AO68*(1+'2.  Scheme Wide'!$E$46)</f>
        <v>-5.5667824715399661E-4</v>
      </c>
      <c r="AQ68" s="522">
        <f>AP68*(1+'2.  Scheme Wide'!$E$46)</f>
        <v>-5.5667824715399661E-4</v>
      </c>
      <c r="AR68" s="522">
        <f>AQ68*(1+'2.  Scheme Wide'!$E$46)</f>
        <v>-5.5667824715399661E-4</v>
      </c>
      <c r="AS68" s="522">
        <f>AR68*(1+'2.  Scheme Wide'!$E$46)</f>
        <v>-5.5667824715399661E-4</v>
      </c>
      <c r="AT68" s="522">
        <f>AS68*(1+'2.  Scheme Wide'!$E$46)</f>
        <v>-5.5667824715399661E-4</v>
      </c>
      <c r="AU68" s="522">
        <f>AT68*(1+'2.  Scheme Wide'!$E$46)</f>
        <v>-5.5667824715399661E-4</v>
      </c>
      <c r="AV68" s="522">
        <f>AU68*(1+'2.  Scheme Wide'!$E$46)</f>
        <v>-5.5667824715399661E-4</v>
      </c>
      <c r="AW68" s="522">
        <f>AV68*(1+'2.  Scheme Wide'!$E$46)</f>
        <v>-5.5667824715399661E-4</v>
      </c>
      <c r="AX68" s="522">
        <f>AW68*(1+'2.  Scheme Wide'!$E$46)</f>
        <v>-5.5667824715399661E-4</v>
      </c>
      <c r="AY68" s="522">
        <f>AX68*(1+'2.  Scheme Wide'!$E$46)</f>
        <v>-5.5667824715399661E-4</v>
      </c>
      <c r="AZ68" s="522">
        <f>AY68*(1+'2.  Scheme Wide'!$E$46)</f>
        <v>-5.5667824715399661E-4</v>
      </c>
      <c r="BA68" s="522">
        <f>AZ68*(1+'2.  Scheme Wide'!$E$46)</f>
        <v>-5.5667824715399661E-4</v>
      </c>
      <c r="BB68" s="522">
        <f>BA68*(1+'2.  Scheme Wide'!$E$46)</f>
        <v>-5.5667824715399661E-4</v>
      </c>
      <c r="BC68" s="522">
        <f>BB68*(1+'2.  Scheme Wide'!$E$46)</f>
        <v>-5.5667824715399661E-4</v>
      </c>
      <c r="BD68" s="522">
        <f>BC68*(1+'2.  Scheme Wide'!$E$46)</f>
        <v>-5.5667824715399661E-4</v>
      </c>
      <c r="BE68" s="522">
        <f>BD68*(1+'2.  Scheme Wide'!$E$46)</f>
        <v>-5.5667824715399661E-4</v>
      </c>
      <c r="BF68" s="522">
        <f>BE68*(1+'2.  Scheme Wide'!$E$46)</f>
        <v>-5.5667824715399661E-4</v>
      </c>
      <c r="BG68" s="522">
        <f>BF68*(1+'2.  Scheme Wide'!$E$46)</f>
        <v>-5.5667824715399661E-4</v>
      </c>
      <c r="BH68" s="522">
        <f>BG68*(1+'2.  Scheme Wide'!$E$46)</f>
        <v>-5.5667824715399661E-4</v>
      </c>
      <c r="BI68" s="522">
        <f>BH68*(1+'2.  Scheme Wide'!$E$46)</f>
        <v>-5.5667824715399661E-4</v>
      </c>
      <c r="BJ68" s="522">
        <f>BI68*(1+'2.  Scheme Wide'!$E$46)</f>
        <v>-5.5667824715399661E-4</v>
      </c>
      <c r="BK68" s="522">
        <f>BJ68*(1+'2.  Scheme Wide'!$E$46)</f>
        <v>-5.5667824715399661E-4</v>
      </c>
      <c r="BL68" s="522">
        <f>BK68*(1+'2.  Scheme Wide'!$E$46)</f>
        <v>-5.5667824715399661E-4</v>
      </c>
      <c r="BM68" s="522">
        <f>BL68*(1+'2.  Scheme Wide'!$E$46)</f>
        <v>-5.5667824715399661E-4</v>
      </c>
      <c r="BN68" s="522">
        <f>BM68*(1+'2.  Scheme Wide'!$E$46)</f>
        <v>-5.5667824715399661E-4</v>
      </c>
      <c r="BO68" s="522">
        <f>BN68*(1+'2.  Scheme Wide'!$E$46)</f>
        <v>-5.5667824715399661E-4</v>
      </c>
      <c r="BP68" s="522">
        <f>BO68*(1+'2.  Scheme Wide'!$E$46)</f>
        <v>-5.5667824715399661E-4</v>
      </c>
      <c r="BQ68" s="522">
        <f>BP68*(1+'2.  Scheme Wide'!$E$46)</f>
        <v>-5.5667824715399661E-4</v>
      </c>
      <c r="BR68" s="522">
        <f>BQ68*(1+'2.  Scheme Wide'!$E$46)</f>
        <v>-5.5667824715399661E-4</v>
      </c>
      <c r="BS68" s="522">
        <f>BR68*(1+'2.  Scheme Wide'!$E$46)</f>
        <v>-5.5667824715399661E-4</v>
      </c>
      <c r="BT68" s="522">
        <f>BS68*(1+'2.  Scheme Wide'!$E$46)</f>
        <v>-5.5667824715399661E-4</v>
      </c>
      <c r="BU68" s="522">
        <f>BT68*(1+'2.  Scheme Wide'!$E$46)</f>
        <v>-5.5667824715399661E-4</v>
      </c>
      <c r="BV68" s="522">
        <f>BU68*(1+'2.  Scheme Wide'!$E$46)</f>
        <v>-5.5667824715399661E-4</v>
      </c>
      <c r="BW68" s="522">
        <f>BV68*(1+'2.  Scheme Wide'!$E$46)</f>
        <v>-5.5667824715399661E-4</v>
      </c>
      <c r="BX68" s="522">
        <f>BW68*(1+'2.  Scheme Wide'!$E$46)</f>
        <v>-5.5667824715399661E-4</v>
      </c>
      <c r="BY68" s="522">
        <f>BX68*(1+'2.  Scheme Wide'!$E$46)</f>
        <v>-5.5667824715399661E-4</v>
      </c>
      <c r="BZ68" s="522">
        <f>BY68*(1+'2.  Scheme Wide'!$E$46)</f>
        <v>-5.5667824715399661E-4</v>
      </c>
      <c r="CA68" s="522">
        <f>BZ68*(1+'2.  Scheme Wide'!$E$46)</f>
        <v>-5.5667824715399661E-4</v>
      </c>
      <c r="CB68" s="522">
        <f>CA68*(1+'2.  Scheme Wide'!$E$46)</f>
        <v>-5.5667824715399661E-4</v>
      </c>
      <c r="CC68" s="522">
        <f>CB68*(1+'2.  Scheme Wide'!$E$46)</f>
        <v>-5.5667824715399661E-4</v>
      </c>
      <c r="CD68" s="522">
        <f>CC68*(1+'2.  Scheme Wide'!$E$46)</f>
        <v>-5.5667824715399661E-4</v>
      </c>
      <c r="CE68" s="522">
        <f>CD68*(1+'2.  Scheme Wide'!$E$46)</f>
        <v>-5.5667824715399661E-4</v>
      </c>
      <c r="CF68" s="522">
        <f>CE68*(1+'2.  Scheme Wide'!$E$46)</f>
        <v>-5.5667824715399661E-4</v>
      </c>
      <c r="CG68" s="522">
        <f>CF68*(1+'2.  Scheme Wide'!$E$46)</f>
        <v>-5.5667824715399661E-4</v>
      </c>
      <c r="CH68" s="522">
        <f>CG68*(1+'2.  Scheme Wide'!$E$46)</f>
        <v>-5.5667824715399661E-4</v>
      </c>
      <c r="CI68" s="522">
        <f>CH68*(1+'2.  Scheme Wide'!$E$46)</f>
        <v>-5.5667824715399661E-4</v>
      </c>
      <c r="CJ68"/>
      <c r="CK68"/>
    </row>
    <row r="69" spans="2:89">
      <c r="B69" s="508" t="s">
        <v>173</v>
      </c>
      <c r="D69" s="522"/>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c r="BU69" s="249"/>
      <c r="BV69" s="249"/>
      <c r="BW69" s="249"/>
      <c r="BX69" s="249"/>
      <c r="BY69" s="249"/>
      <c r="BZ69" s="249"/>
      <c r="CA69" s="249"/>
      <c r="CB69" s="249"/>
      <c r="CC69" s="249"/>
      <c r="CD69" s="249"/>
      <c r="CE69" s="249"/>
      <c r="CF69" s="249"/>
      <c r="CG69" s="249"/>
      <c r="CH69" s="249"/>
      <c r="CI69" s="249"/>
      <c r="CJ69"/>
      <c r="CK69"/>
    </row>
    <row r="70" spans="2:89">
      <c r="B70" s="508" t="s">
        <v>174</v>
      </c>
      <c r="D70" s="522"/>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BZ70" s="249"/>
      <c r="CA70" s="249"/>
      <c r="CB70" s="249"/>
      <c r="CC70" s="249"/>
      <c r="CD70" s="249"/>
      <c r="CE70" s="249"/>
      <c r="CF70" s="249"/>
      <c r="CG70" s="249"/>
      <c r="CH70" s="249"/>
      <c r="CI70" s="249"/>
      <c r="CJ70"/>
      <c r="CK70"/>
    </row>
    <row r="71" spans="2:89">
      <c r="B71" s="508" t="s">
        <v>175</v>
      </c>
      <c r="D71" s="522">
        <f t="shared" ref="D71:D76" si="60">H97</f>
        <v>-8.7828235839183352E-2</v>
      </c>
      <c r="E71" s="522">
        <f>D71*(1+'2.  Scheme Wide'!$E$46)</f>
        <v>-8.7828235839183352E-2</v>
      </c>
      <c r="F71" s="522">
        <f>E71*(1+'2.  Scheme Wide'!$E$46)</f>
        <v>-8.7828235839183352E-2</v>
      </c>
      <c r="G71" s="522">
        <f>F71*(1+'2.  Scheme Wide'!$E$46)</f>
        <v>-8.7828235839183352E-2</v>
      </c>
      <c r="H71" s="522">
        <f>G71*(1+'2.  Scheme Wide'!$E$46)</f>
        <v>-8.7828235839183352E-2</v>
      </c>
      <c r="I71" s="522">
        <f>H71*(1+'2.  Scheme Wide'!$E$46)</f>
        <v>-8.7828235839183352E-2</v>
      </c>
      <c r="J71" s="522">
        <f>I71*(1+'2.  Scheme Wide'!$E$46)</f>
        <v>-8.7828235839183352E-2</v>
      </c>
      <c r="K71" s="522">
        <f>J71*(1+'2.  Scheme Wide'!$E$46)</f>
        <v>-8.7828235839183352E-2</v>
      </c>
      <c r="L71" s="522">
        <f>K71*(1+'2.  Scheme Wide'!$E$46)</f>
        <v>-8.7828235839183352E-2</v>
      </c>
      <c r="M71" s="522">
        <f>L71*(1+'2.  Scheme Wide'!$E$46)</f>
        <v>-8.7828235839183352E-2</v>
      </c>
      <c r="N71" s="522">
        <f>M71*(1+'2.  Scheme Wide'!$E$46)</f>
        <v>-8.7828235839183352E-2</v>
      </c>
      <c r="O71" s="522">
        <f>N71*(1+'2.  Scheme Wide'!$E$46)</f>
        <v>-8.7828235839183352E-2</v>
      </c>
      <c r="P71" s="522">
        <f>O71*(1+'2.  Scheme Wide'!$E$46)</f>
        <v>-8.7828235839183352E-2</v>
      </c>
      <c r="Q71" s="522">
        <f>P71*(1+'2.  Scheme Wide'!$E$46)</f>
        <v>-8.7828235839183352E-2</v>
      </c>
      <c r="R71" s="522">
        <f>Q71*(1+'2.  Scheme Wide'!$E$46)</f>
        <v>-8.7828235839183352E-2</v>
      </c>
      <c r="S71" s="522">
        <f>R71*(1+'2.  Scheme Wide'!$E$46)</f>
        <v>-8.7828235839183352E-2</v>
      </c>
      <c r="T71" s="522">
        <f>S71*(1+'2.  Scheme Wide'!$E$46)</f>
        <v>-8.7828235839183352E-2</v>
      </c>
      <c r="U71" s="522">
        <f>T71*(1+'2.  Scheme Wide'!$E$46)</f>
        <v>-8.7828235839183352E-2</v>
      </c>
      <c r="V71" s="522">
        <f>U71*(1+'2.  Scheme Wide'!$E$46)</f>
        <v>-8.7828235839183352E-2</v>
      </c>
      <c r="W71" s="522">
        <f>V71*(1+'2.  Scheme Wide'!$E$46)</f>
        <v>-8.7828235839183352E-2</v>
      </c>
      <c r="X71" s="522">
        <f>W71*(1+'2.  Scheme Wide'!$E$46)</f>
        <v>-8.7828235839183352E-2</v>
      </c>
      <c r="Y71" s="522">
        <f>X71*(1+'2.  Scheme Wide'!$E$46)</f>
        <v>-8.7828235839183352E-2</v>
      </c>
      <c r="Z71" s="522">
        <f>Y71*(1+'2.  Scheme Wide'!$E$46)</f>
        <v>-8.7828235839183352E-2</v>
      </c>
      <c r="AA71" s="522">
        <f>Z71*(1+'2.  Scheme Wide'!$E$46)</f>
        <v>-8.7828235839183352E-2</v>
      </c>
      <c r="AB71" s="522">
        <f>AA71*(1+'2.  Scheme Wide'!$E$46)</f>
        <v>-8.7828235839183352E-2</v>
      </c>
      <c r="AC71" s="522">
        <f>AB71*(1+'2.  Scheme Wide'!$E$46)</f>
        <v>-8.7828235839183352E-2</v>
      </c>
      <c r="AD71" s="522">
        <f>AC71*(1+'2.  Scheme Wide'!$E$46)</f>
        <v>-8.7828235839183352E-2</v>
      </c>
      <c r="AE71" s="522">
        <f>AD71*(1+'2.  Scheme Wide'!$E$46)</f>
        <v>-8.7828235839183352E-2</v>
      </c>
      <c r="AF71" s="522">
        <f>AE71*(1+'2.  Scheme Wide'!$E$46)</f>
        <v>-8.7828235839183352E-2</v>
      </c>
      <c r="AG71" s="522">
        <f>AF71*(1+'2.  Scheme Wide'!$E$46)</f>
        <v>-8.7828235839183352E-2</v>
      </c>
      <c r="AH71" s="522">
        <f>AG71*(1+'2.  Scheme Wide'!$E$46)</f>
        <v>-8.7828235839183352E-2</v>
      </c>
      <c r="AI71" s="522">
        <f>AH71*(1+'2.  Scheme Wide'!$E$46)</f>
        <v>-8.7828235839183352E-2</v>
      </c>
      <c r="AJ71" s="522">
        <f>AI71*(1+'2.  Scheme Wide'!$E$46)</f>
        <v>-8.7828235839183352E-2</v>
      </c>
      <c r="AK71" s="522">
        <f>AJ71*(1+'2.  Scheme Wide'!$E$46)</f>
        <v>-8.7828235839183352E-2</v>
      </c>
      <c r="AL71" s="522">
        <f>AK71*(1+'2.  Scheme Wide'!$E$46)</f>
        <v>-8.7828235839183352E-2</v>
      </c>
      <c r="AM71" s="522">
        <f>AL71*(1+'2.  Scheme Wide'!$E$46)</f>
        <v>-8.7828235839183352E-2</v>
      </c>
      <c r="AN71" s="522">
        <f>AM71*(1+'2.  Scheme Wide'!$E$46)</f>
        <v>-8.7828235839183352E-2</v>
      </c>
      <c r="AO71" s="522">
        <f>AN71*(1+'2.  Scheme Wide'!$E$46)</f>
        <v>-8.7828235839183352E-2</v>
      </c>
      <c r="AP71" s="522">
        <f>AO71*(1+'2.  Scheme Wide'!$E$46)</f>
        <v>-8.7828235839183352E-2</v>
      </c>
      <c r="AQ71" s="522">
        <f>AP71*(1+'2.  Scheme Wide'!$E$46)</f>
        <v>-8.7828235839183352E-2</v>
      </c>
      <c r="AR71" s="522">
        <f>AQ71*(1+'2.  Scheme Wide'!$E$46)</f>
        <v>-8.7828235839183352E-2</v>
      </c>
      <c r="AS71" s="522">
        <f>AR71*(1+'2.  Scheme Wide'!$E$46)</f>
        <v>-8.7828235839183352E-2</v>
      </c>
      <c r="AT71" s="522">
        <f>AS71*(1+'2.  Scheme Wide'!$E$46)</f>
        <v>-8.7828235839183352E-2</v>
      </c>
      <c r="AU71" s="522">
        <f>AT71*(1+'2.  Scheme Wide'!$E$46)</f>
        <v>-8.7828235839183352E-2</v>
      </c>
      <c r="AV71" s="522">
        <f>AU71*(1+'2.  Scheme Wide'!$E$46)</f>
        <v>-8.7828235839183352E-2</v>
      </c>
      <c r="AW71" s="522">
        <f>AV71*(1+'2.  Scheme Wide'!$E$46)</f>
        <v>-8.7828235839183352E-2</v>
      </c>
      <c r="AX71" s="522">
        <f>AW71*(1+'2.  Scheme Wide'!$E$46)</f>
        <v>-8.7828235839183352E-2</v>
      </c>
      <c r="AY71" s="522">
        <f>AX71*(1+'2.  Scheme Wide'!$E$46)</f>
        <v>-8.7828235839183352E-2</v>
      </c>
      <c r="AZ71" s="522">
        <f>AY71*(1+'2.  Scheme Wide'!$E$46)</f>
        <v>-8.7828235839183352E-2</v>
      </c>
      <c r="BA71" s="522">
        <f>AZ71*(1+'2.  Scheme Wide'!$E$46)</f>
        <v>-8.7828235839183352E-2</v>
      </c>
      <c r="BB71" s="522">
        <f>BA71*(1+'2.  Scheme Wide'!$E$46)</f>
        <v>-8.7828235839183352E-2</v>
      </c>
      <c r="BC71" s="522">
        <f>BB71*(1+'2.  Scheme Wide'!$E$46)</f>
        <v>-8.7828235839183352E-2</v>
      </c>
      <c r="BD71" s="522">
        <f>BC71*(1+'2.  Scheme Wide'!$E$46)</f>
        <v>-8.7828235839183352E-2</v>
      </c>
      <c r="BE71" s="522">
        <f>BD71*(1+'2.  Scheme Wide'!$E$46)</f>
        <v>-8.7828235839183352E-2</v>
      </c>
      <c r="BF71" s="522">
        <f>BE71*(1+'2.  Scheme Wide'!$E$46)</f>
        <v>-8.7828235839183352E-2</v>
      </c>
      <c r="BG71" s="522">
        <f>BF71*(1+'2.  Scheme Wide'!$E$46)</f>
        <v>-8.7828235839183352E-2</v>
      </c>
      <c r="BH71" s="522">
        <f>BG71*(1+'2.  Scheme Wide'!$E$46)</f>
        <v>-8.7828235839183352E-2</v>
      </c>
      <c r="BI71" s="522">
        <f>BH71*(1+'2.  Scheme Wide'!$E$46)</f>
        <v>-8.7828235839183352E-2</v>
      </c>
      <c r="BJ71" s="522">
        <f>BI71*(1+'2.  Scheme Wide'!$E$46)</f>
        <v>-8.7828235839183352E-2</v>
      </c>
      <c r="BK71" s="522">
        <f>BJ71*(1+'2.  Scheme Wide'!$E$46)</f>
        <v>-8.7828235839183352E-2</v>
      </c>
      <c r="BL71" s="522">
        <f>BK71*(1+'2.  Scheme Wide'!$E$46)</f>
        <v>-8.7828235839183352E-2</v>
      </c>
      <c r="BM71" s="522">
        <f>BL71*(1+'2.  Scheme Wide'!$E$46)</f>
        <v>-8.7828235839183352E-2</v>
      </c>
      <c r="BN71" s="522">
        <f>BM71*(1+'2.  Scheme Wide'!$E$46)</f>
        <v>-8.7828235839183352E-2</v>
      </c>
      <c r="BO71" s="522">
        <f>BN71*(1+'2.  Scheme Wide'!$E$46)</f>
        <v>-8.7828235839183352E-2</v>
      </c>
      <c r="BP71" s="522">
        <f>BO71*(1+'2.  Scheme Wide'!$E$46)</f>
        <v>-8.7828235839183352E-2</v>
      </c>
      <c r="BQ71" s="522">
        <f>BP71*(1+'2.  Scheme Wide'!$E$46)</f>
        <v>-8.7828235839183352E-2</v>
      </c>
      <c r="BR71" s="522">
        <f>BQ71*(1+'2.  Scheme Wide'!$E$46)</f>
        <v>-8.7828235839183352E-2</v>
      </c>
      <c r="BS71" s="522">
        <f>BR71*(1+'2.  Scheme Wide'!$E$46)</f>
        <v>-8.7828235839183352E-2</v>
      </c>
      <c r="BT71" s="522">
        <f>BS71*(1+'2.  Scheme Wide'!$E$46)</f>
        <v>-8.7828235839183352E-2</v>
      </c>
      <c r="BU71" s="522">
        <f>BT71*(1+'2.  Scheme Wide'!$E$46)</f>
        <v>-8.7828235839183352E-2</v>
      </c>
      <c r="BV71" s="522">
        <f>BU71*(1+'2.  Scheme Wide'!$E$46)</f>
        <v>-8.7828235839183352E-2</v>
      </c>
      <c r="BW71" s="522">
        <f>BV71*(1+'2.  Scheme Wide'!$E$46)</f>
        <v>-8.7828235839183352E-2</v>
      </c>
      <c r="BX71" s="522">
        <f>BW71*(1+'2.  Scheme Wide'!$E$46)</f>
        <v>-8.7828235839183352E-2</v>
      </c>
      <c r="BY71" s="522">
        <f>BX71*(1+'2.  Scheme Wide'!$E$46)</f>
        <v>-8.7828235839183352E-2</v>
      </c>
      <c r="BZ71" s="522">
        <f>BY71*(1+'2.  Scheme Wide'!$E$46)</f>
        <v>-8.7828235839183352E-2</v>
      </c>
      <c r="CA71" s="522">
        <f>BZ71*(1+'2.  Scheme Wide'!$E$46)</f>
        <v>-8.7828235839183352E-2</v>
      </c>
      <c r="CB71" s="522">
        <f>CA71*(1+'2.  Scheme Wide'!$E$46)</f>
        <v>-8.7828235839183352E-2</v>
      </c>
      <c r="CC71" s="522">
        <f>CB71*(1+'2.  Scheme Wide'!$E$46)</f>
        <v>-8.7828235839183352E-2</v>
      </c>
      <c r="CD71" s="522">
        <f>CC71*(1+'2.  Scheme Wide'!$E$46)</f>
        <v>-8.7828235839183352E-2</v>
      </c>
      <c r="CE71" s="522">
        <f>CD71*(1+'2.  Scheme Wide'!$E$46)</f>
        <v>-8.7828235839183352E-2</v>
      </c>
      <c r="CF71" s="522">
        <f>CE71*(1+'2.  Scheme Wide'!$E$46)</f>
        <v>-8.7828235839183352E-2</v>
      </c>
      <c r="CG71" s="522">
        <f>CF71*(1+'2.  Scheme Wide'!$E$46)</f>
        <v>-8.7828235839183352E-2</v>
      </c>
      <c r="CH71" s="522">
        <f>CG71*(1+'2.  Scheme Wide'!$E$46)</f>
        <v>-8.7828235839183352E-2</v>
      </c>
      <c r="CI71" s="522">
        <f>CH71*(1+'2.  Scheme Wide'!$E$46)</f>
        <v>-8.7828235839183352E-2</v>
      </c>
      <c r="CJ71"/>
      <c r="CK71"/>
    </row>
    <row r="72" spans="2:89">
      <c r="B72" s="508" t="s">
        <v>176</v>
      </c>
      <c r="D72" s="522">
        <f t="shared" si="60"/>
        <v>-0.25531568546223804</v>
      </c>
      <c r="E72" s="522">
        <f>D72*(1+'2.  Scheme Wide'!$E$46)</f>
        <v>-0.25531568546223804</v>
      </c>
      <c r="F72" s="522">
        <f>E72*(1+'2.  Scheme Wide'!$E$46)</f>
        <v>-0.25531568546223804</v>
      </c>
      <c r="G72" s="522">
        <f>F72*(1+'2.  Scheme Wide'!$E$46)</f>
        <v>-0.25531568546223804</v>
      </c>
      <c r="H72" s="522">
        <f>G72*(1+'2.  Scheme Wide'!$E$46)</f>
        <v>-0.25531568546223804</v>
      </c>
      <c r="I72" s="522">
        <f>H72*(1+'2.  Scheme Wide'!$E$46)</f>
        <v>-0.25531568546223804</v>
      </c>
      <c r="J72" s="522">
        <f>I72*(1+'2.  Scheme Wide'!$E$46)</f>
        <v>-0.25531568546223804</v>
      </c>
      <c r="K72" s="522">
        <f>J72*(1+'2.  Scheme Wide'!$E$46)</f>
        <v>-0.25531568546223804</v>
      </c>
      <c r="L72" s="522">
        <f>K72*(1+'2.  Scheme Wide'!$E$46)</f>
        <v>-0.25531568546223804</v>
      </c>
      <c r="M72" s="522">
        <f>L72*(1+'2.  Scheme Wide'!$E$46)</f>
        <v>-0.25531568546223804</v>
      </c>
      <c r="N72" s="522">
        <f>M72*(1+'2.  Scheme Wide'!$E$46)</f>
        <v>-0.25531568546223804</v>
      </c>
      <c r="O72" s="522">
        <f>N72*(1+'2.  Scheme Wide'!$E$46)</f>
        <v>-0.25531568546223804</v>
      </c>
      <c r="P72" s="522">
        <f>O72*(1+'2.  Scheme Wide'!$E$46)</f>
        <v>-0.25531568546223804</v>
      </c>
      <c r="Q72" s="522">
        <f>P72*(1+'2.  Scheme Wide'!$E$46)</f>
        <v>-0.25531568546223804</v>
      </c>
      <c r="R72" s="522">
        <f>Q72*(1+'2.  Scheme Wide'!$E$46)</f>
        <v>-0.25531568546223804</v>
      </c>
      <c r="S72" s="522">
        <f>R72*(1+'2.  Scheme Wide'!$E$46)</f>
        <v>-0.25531568546223804</v>
      </c>
      <c r="T72" s="522">
        <f>S72*(1+'2.  Scheme Wide'!$E$46)</f>
        <v>-0.25531568546223804</v>
      </c>
      <c r="U72" s="522">
        <f>T72*(1+'2.  Scheme Wide'!$E$46)</f>
        <v>-0.25531568546223804</v>
      </c>
      <c r="V72" s="522">
        <f>U72*(1+'2.  Scheme Wide'!$E$46)</f>
        <v>-0.25531568546223804</v>
      </c>
      <c r="W72" s="522">
        <f>V72*(1+'2.  Scheme Wide'!$E$46)</f>
        <v>-0.25531568546223804</v>
      </c>
      <c r="X72" s="522">
        <f>W72*(1+'2.  Scheme Wide'!$E$46)</f>
        <v>-0.25531568546223804</v>
      </c>
      <c r="Y72" s="522">
        <f>X72*(1+'2.  Scheme Wide'!$E$46)</f>
        <v>-0.25531568546223804</v>
      </c>
      <c r="Z72" s="522">
        <f>Y72*(1+'2.  Scheme Wide'!$E$46)</f>
        <v>-0.25531568546223804</v>
      </c>
      <c r="AA72" s="522">
        <f>Z72*(1+'2.  Scheme Wide'!$E$46)</f>
        <v>-0.25531568546223804</v>
      </c>
      <c r="AB72" s="522">
        <f>AA72*(1+'2.  Scheme Wide'!$E$46)</f>
        <v>-0.25531568546223804</v>
      </c>
      <c r="AC72" s="522">
        <f>AB72*(1+'2.  Scheme Wide'!$E$46)</f>
        <v>-0.25531568546223804</v>
      </c>
      <c r="AD72" s="522">
        <f>AC72*(1+'2.  Scheme Wide'!$E$46)</f>
        <v>-0.25531568546223804</v>
      </c>
      <c r="AE72" s="522">
        <f>AD72*(1+'2.  Scheme Wide'!$E$46)</f>
        <v>-0.25531568546223804</v>
      </c>
      <c r="AF72" s="522">
        <f>AE72*(1+'2.  Scheme Wide'!$E$46)</f>
        <v>-0.25531568546223804</v>
      </c>
      <c r="AG72" s="522">
        <f>AF72*(1+'2.  Scheme Wide'!$E$46)</f>
        <v>-0.25531568546223804</v>
      </c>
      <c r="AH72" s="522">
        <f>AG72*(1+'2.  Scheme Wide'!$E$46)</f>
        <v>-0.25531568546223804</v>
      </c>
      <c r="AI72" s="522">
        <f>AH72*(1+'2.  Scheme Wide'!$E$46)</f>
        <v>-0.25531568546223804</v>
      </c>
      <c r="AJ72" s="522">
        <f>AI72*(1+'2.  Scheme Wide'!$E$46)</f>
        <v>-0.25531568546223804</v>
      </c>
      <c r="AK72" s="522">
        <f>AJ72*(1+'2.  Scheme Wide'!$E$46)</f>
        <v>-0.25531568546223804</v>
      </c>
      <c r="AL72" s="522">
        <f>AK72*(1+'2.  Scheme Wide'!$E$46)</f>
        <v>-0.25531568546223804</v>
      </c>
      <c r="AM72" s="522">
        <f>AL72*(1+'2.  Scheme Wide'!$E$46)</f>
        <v>-0.25531568546223804</v>
      </c>
      <c r="AN72" s="522">
        <f>AM72*(1+'2.  Scheme Wide'!$E$46)</f>
        <v>-0.25531568546223804</v>
      </c>
      <c r="AO72" s="522">
        <f>AN72*(1+'2.  Scheme Wide'!$E$46)</f>
        <v>-0.25531568546223804</v>
      </c>
      <c r="AP72" s="522">
        <f>AO72*(1+'2.  Scheme Wide'!$E$46)</f>
        <v>-0.25531568546223804</v>
      </c>
      <c r="AQ72" s="522">
        <f>AP72*(1+'2.  Scheme Wide'!$E$46)</f>
        <v>-0.25531568546223804</v>
      </c>
      <c r="AR72" s="522">
        <f>AQ72*(1+'2.  Scheme Wide'!$E$46)</f>
        <v>-0.25531568546223804</v>
      </c>
      <c r="AS72" s="522">
        <f>AR72*(1+'2.  Scheme Wide'!$E$46)</f>
        <v>-0.25531568546223804</v>
      </c>
      <c r="AT72" s="522">
        <f>AS72*(1+'2.  Scheme Wide'!$E$46)</f>
        <v>-0.25531568546223804</v>
      </c>
      <c r="AU72" s="522">
        <f>AT72*(1+'2.  Scheme Wide'!$E$46)</f>
        <v>-0.25531568546223804</v>
      </c>
      <c r="AV72" s="522">
        <f>AU72*(1+'2.  Scheme Wide'!$E$46)</f>
        <v>-0.25531568546223804</v>
      </c>
      <c r="AW72" s="522">
        <f>AV72*(1+'2.  Scheme Wide'!$E$46)</f>
        <v>-0.25531568546223804</v>
      </c>
      <c r="AX72" s="522">
        <f>AW72*(1+'2.  Scheme Wide'!$E$46)</f>
        <v>-0.25531568546223804</v>
      </c>
      <c r="AY72" s="522">
        <f>AX72*(1+'2.  Scheme Wide'!$E$46)</f>
        <v>-0.25531568546223804</v>
      </c>
      <c r="AZ72" s="522">
        <f>AY72*(1+'2.  Scheme Wide'!$E$46)</f>
        <v>-0.25531568546223804</v>
      </c>
      <c r="BA72" s="522">
        <f>AZ72*(1+'2.  Scheme Wide'!$E$46)</f>
        <v>-0.25531568546223804</v>
      </c>
      <c r="BB72" s="522">
        <f>BA72*(1+'2.  Scheme Wide'!$E$46)</f>
        <v>-0.25531568546223804</v>
      </c>
      <c r="BC72" s="522">
        <f>BB72*(1+'2.  Scheme Wide'!$E$46)</f>
        <v>-0.25531568546223804</v>
      </c>
      <c r="BD72" s="522">
        <f>BC72*(1+'2.  Scheme Wide'!$E$46)</f>
        <v>-0.25531568546223804</v>
      </c>
      <c r="BE72" s="522">
        <f>BD72*(1+'2.  Scheme Wide'!$E$46)</f>
        <v>-0.25531568546223804</v>
      </c>
      <c r="BF72" s="522">
        <f>BE72*(1+'2.  Scheme Wide'!$E$46)</f>
        <v>-0.25531568546223804</v>
      </c>
      <c r="BG72" s="522">
        <f>BF72*(1+'2.  Scheme Wide'!$E$46)</f>
        <v>-0.25531568546223804</v>
      </c>
      <c r="BH72" s="522">
        <f>BG72*(1+'2.  Scheme Wide'!$E$46)</f>
        <v>-0.25531568546223804</v>
      </c>
      <c r="BI72" s="522">
        <f>BH72*(1+'2.  Scheme Wide'!$E$46)</f>
        <v>-0.25531568546223804</v>
      </c>
      <c r="BJ72" s="522">
        <f>BI72*(1+'2.  Scheme Wide'!$E$46)</f>
        <v>-0.25531568546223804</v>
      </c>
      <c r="BK72" s="522">
        <f>BJ72*(1+'2.  Scheme Wide'!$E$46)</f>
        <v>-0.25531568546223804</v>
      </c>
      <c r="BL72" s="522">
        <f>BK72*(1+'2.  Scheme Wide'!$E$46)</f>
        <v>-0.25531568546223804</v>
      </c>
      <c r="BM72" s="522">
        <f>BL72*(1+'2.  Scheme Wide'!$E$46)</f>
        <v>-0.25531568546223804</v>
      </c>
      <c r="BN72" s="522">
        <f>BM72*(1+'2.  Scheme Wide'!$E$46)</f>
        <v>-0.25531568546223804</v>
      </c>
      <c r="BO72" s="522">
        <f>BN72*(1+'2.  Scheme Wide'!$E$46)</f>
        <v>-0.25531568546223804</v>
      </c>
      <c r="BP72" s="522">
        <f>BO72*(1+'2.  Scheme Wide'!$E$46)</f>
        <v>-0.25531568546223804</v>
      </c>
      <c r="BQ72" s="522">
        <f>BP72*(1+'2.  Scheme Wide'!$E$46)</f>
        <v>-0.25531568546223804</v>
      </c>
      <c r="BR72" s="522">
        <f>BQ72*(1+'2.  Scheme Wide'!$E$46)</f>
        <v>-0.25531568546223804</v>
      </c>
      <c r="BS72" s="522">
        <f>BR72*(1+'2.  Scheme Wide'!$E$46)</f>
        <v>-0.25531568546223804</v>
      </c>
      <c r="BT72" s="522">
        <f>BS72*(1+'2.  Scheme Wide'!$E$46)</f>
        <v>-0.25531568546223804</v>
      </c>
      <c r="BU72" s="522">
        <f>BT72*(1+'2.  Scheme Wide'!$E$46)</f>
        <v>-0.25531568546223804</v>
      </c>
      <c r="BV72" s="522">
        <f>BU72*(1+'2.  Scheme Wide'!$E$46)</f>
        <v>-0.25531568546223804</v>
      </c>
      <c r="BW72" s="522">
        <f>BV72*(1+'2.  Scheme Wide'!$E$46)</f>
        <v>-0.25531568546223804</v>
      </c>
      <c r="BX72" s="522">
        <f>BW72*(1+'2.  Scheme Wide'!$E$46)</f>
        <v>-0.25531568546223804</v>
      </c>
      <c r="BY72" s="522">
        <f>BX72*(1+'2.  Scheme Wide'!$E$46)</f>
        <v>-0.25531568546223804</v>
      </c>
      <c r="BZ72" s="522">
        <f>BY72*(1+'2.  Scheme Wide'!$E$46)</f>
        <v>-0.25531568546223804</v>
      </c>
      <c r="CA72" s="522">
        <f>BZ72*(1+'2.  Scheme Wide'!$E$46)</f>
        <v>-0.25531568546223804</v>
      </c>
      <c r="CB72" s="522">
        <f>CA72*(1+'2.  Scheme Wide'!$E$46)</f>
        <v>-0.25531568546223804</v>
      </c>
      <c r="CC72" s="522">
        <f>CB72*(1+'2.  Scheme Wide'!$E$46)</f>
        <v>-0.25531568546223804</v>
      </c>
      <c r="CD72" s="522">
        <f>CC72*(1+'2.  Scheme Wide'!$E$46)</f>
        <v>-0.25531568546223804</v>
      </c>
      <c r="CE72" s="522">
        <f>CD72*(1+'2.  Scheme Wide'!$E$46)</f>
        <v>-0.25531568546223804</v>
      </c>
      <c r="CF72" s="522">
        <f>CE72*(1+'2.  Scheme Wide'!$E$46)</f>
        <v>-0.25531568546223804</v>
      </c>
      <c r="CG72" s="522">
        <f>CF72*(1+'2.  Scheme Wide'!$E$46)</f>
        <v>-0.25531568546223804</v>
      </c>
      <c r="CH72" s="522">
        <f>CG72*(1+'2.  Scheme Wide'!$E$46)</f>
        <v>-0.25531568546223804</v>
      </c>
      <c r="CI72" s="522">
        <f>CH72*(1+'2.  Scheme Wide'!$E$46)</f>
        <v>-0.25531568546223804</v>
      </c>
      <c r="CJ72"/>
      <c r="CK72"/>
    </row>
    <row r="73" spans="2:89">
      <c r="B73" s="508" t="s">
        <v>177</v>
      </c>
      <c r="D73" s="522"/>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BZ73" s="249"/>
      <c r="CA73" s="249"/>
      <c r="CB73" s="249"/>
      <c r="CC73" s="249"/>
      <c r="CD73" s="249"/>
      <c r="CE73" s="249"/>
      <c r="CF73" s="249"/>
      <c r="CG73" s="249"/>
      <c r="CH73" s="249"/>
      <c r="CI73" s="249"/>
      <c r="CJ73"/>
      <c r="CK73"/>
    </row>
    <row r="74" spans="2:89">
      <c r="B74" s="509" t="s">
        <v>50</v>
      </c>
      <c r="D74" s="522"/>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BZ74" s="249"/>
      <c r="CA74" s="249"/>
      <c r="CB74" s="249"/>
      <c r="CC74" s="249"/>
      <c r="CD74" s="249"/>
      <c r="CE74" s="249"/>
      <c r="CF74" s="249"/>
      <c r="CG74" s="249"/>
      <c r="CH74" s="249"/>
      <c r="CI74" s="249"/>
      <c r="CJ74"/>
      <c r="CK74"/>
    </row>
    <row r="75" spans="2:89">
      <c r="B75" s="508" t="s">
        <v>237</v>
      </c>
      <c r="D75" s="522">
        <f t="shared" si="60"/>
        <v>1.6997769130999096E-2</v>
      </c>
      <c r="E75" s="522">
        <f>D75*(1+'2.  Scheme Wide'!$E$46)</f>
        <v>1.6997769130999096E-2</v>
      </c>
      <c r="F75" s="522">
        <f>E75*(1+'2.  Scheme Wide'!$E$46)</f>
        <v>1.6997769130999096E-2</v>
      </c>
      <c r="G75" s="522">
        <f>F75*(1+'2.  Scheme Wide'!$E$46)</f>
        <v>1.6997769130999096E-2</v>
      </c>
      <c r="H75" s="522">
        <f>G75*(1+'2.  Scheme Wide'!$E$46)</f>
        <v>1.6997769130999096E-2</v>
      </c>
      <c r="I75" s="522">
        <f>H75*(1+'2.  Scheme Wide'!$E$46)</f>
        <v>1.6997769130999096E-2</v>
      </c>
      <c r="J75" s="522">
        <f>I75*(1+'2.  Scheme Wide'!$E$46)</f>
        <v>1.6997769130999096E-2</v>
      </c>
      <c r="K75" s="522">
        <f>J75*(1+'2.  Scheme Wide'!$E$46)</f>
        <v>1.6997769130999096E-2</v>
      </c>
      <c r="L75" s="522">
        <f>K75*(1+'2.  Scheme Wide'!$E$46)</f>
        <v>1.6997769130999096E-2</v>
      </c>
      <c r="M75" s="522">
        <f>L75*(1+'2.  Scheme Wide'!$E$46)</f>
        <v>1.6997769130999096E-2</v>
      </c>
      <c r="N75" s="522">
        <f>M75*(1+'2.  Scheme Wide'!$E$46)</f>
        <v>1.6997769130999096E-2</v>
      </c>
      <c r="O75" s="522">
        <f>N75*(1+'2.  Scheme Wide'!$E$46)</f>
        <v>1.6997769130999096E-2</v>
      </c>
      <c r="P75" s="522">
        <f>O75*(1+'2.  Scheme Wide'!$E$46)</f>
        <v>1.6997769130999096E-2</v>
      </c>
      <c r="Q75" s="522">
        <f>P75*(1+'2.  Scheme Wide'!$E$46)</f>
        <v>1.6997769130999096E-2</v>
      </c>
      <c r="R75" s="522">
        <f>Q75*(1+'2.  Scheme Wide'!$E$46)</f>
        <v>1.6997769130999096E-2</v>
      </c>
      <c r="S75" s="522">
        <f>R75*(1+'2.  Scheme Wide'!$E$46)</f>
        <v>1.6997769130999096E-2</v>
      </c>
      <c r="T75" s="522">
        <f>S75*(1+'2.  Scheme Wide'!$E$46)</f>
        <v>1.6997769130999096E-2</v>
      </c>
      <c r="U75" s="522">
        <f>T75*(1+'2.  Scheme Wide'!$E$46)</f>
        <v>1.6997769130999096E-2</v>
      </c>
      <c r="V75" s="522">
        <f>U75*(1+'2.  Scheme Wide'!$E$46)</f>
        <v>1.6997769130999096E-2</v>
      </c>
      <c r="W75" s="522">
        <f>V75*(1+'2.  Scheme Wide'!$E$46)</f>
        <v>1.6997769130999096E-2</v>
      </c>
      <c r="X75" s="522">
        <f>W75*(1+'2.  Scheme Wide'!$E$46)</f>
        <v>1.6997769130999096E-2</v>
      </c>
      <c r="Y75" s="522">
        <f>X75*(1+'2.  Scheme Wide'!$E$46)</f>
        <v>1.6997769130999096E-2</v>
      </c>
      <c r="Z75" s="522">
        <f>Y75*(1+'2.  Scheme Wide'!$E$46)</f>
        <v>1.6997769130999096E-2</v>
      </c>
      <c r="AA75" s="522">
        <f>Z75*(1+'2.  Scheme Wide'!$E$46)</f>
        <v>1.6997769130999096E-2</v>
      </c>
      <c r="AB75" s="522">
        <f>AA75*(1+'2.  Scheme Wide'!$E$46)</f>
        <v>1.6997769130999096E-2</v>
      </c>
      <c r="AC75" s="522">
        <f>AB75*(1+'2.  Scheme Wide'!$E$46)</f>
        <v>1.6997769130999096E-2</v>
      </c>
      <c r="AD75" s="522">
        <f>AC75*(1+'2.  Scheme Wide'!$E$46)</f>
        <v>1.6997769130999096E-2</v>
      </c>
      <c r="AE75" s="522">
        <f>AD75*(1+'2.  Scheme Wide'!$E$46)</f>
        <v>1.6997769130999096E-2</v>
      </c>
      <c r="AF75" s="522">
        <f>AE75*(1+'2.  Scheme Wide'!$E$46)</f>
        <v>1.6997769130999096E-2</v>
      </c>
      <c r="AG75" s="522">
        <f>AF75*(1+'2.  Scheme Wide'!$E$46)</f>
        <v>1.6997769130999096E-2</v>
      </c>
      <c r="AH75" s="522">
        <f>AG75*(1+'2.  Scheme Wide'!$E$46)</f>
        <v>1.6997769130999096E-2</v>
      </c>
      <c r="AI75" s="522">
        <f>AH75*(1+'2.  Scheme Wide'!$E$46)</f>
        <v>1.6997769130999096E-2</v>
      </c>
      <c r="AJ75" s="522">
        <f>AI75*(1+'2.  Scheme Wide'!$E$46)</f>
        <v>1.6997769130999096E-2</v>
      </c>
      <c r="AK75" s="522">
        <f>AJ75*(1+'2.  Scheme Wide'!$E$46)</f>
        <v>1.6997769130999096E-2</v>
      </c>
      <c r="AL75" s="522">
        <f>AK75*(1+'2.  Scheme Wide'!$E$46)</f>
        <v>1.6997769130999096E-2</v>
      </c>
      <c r="AM75" s="522">
        <f>AL75*(1+'2.  Scheme Wide'!$E$46)</f>
        <v>1.6997769130999096E-2</v>
      </c>
      <c r="AN75" s="522">
        <f>AM75*(1+'2.  Scheme Wide'!$E$46)</f>
        <v>1.6997769130999096E-2</v>
      </c>
      <c r="AO75" s="522">
        <f>AN75*(1+'2.  Scheme Wide'!$E$46)</f>
        <v>1.6997769130999096E-2</v>
      </c>
      <c r="AP75" s="522">
        <f>AO75*(1+'2.  Scheme Wide'!$E$46)</f>
        <v>1.6997769130999096E-2</v>
      </c>
      <c r="AQ75" s="522">
        <f>AP75*(1+'2.  Scheme Wide'!$E$46)</f>
        <v>1.6997769130999096E-2</v>
      </c>
      <c r="AR75" s="522">
        <f>AQ75*(1+'2.  Scheme Wide'!$E$46)</f>
        <v>1.6997769130999096E-2</v>
      </c>
      <c r="AS75" s="522">
        <f>AR75*(1+'2.  Scheme Wide'!$E$46)</f>
        <v>1.6997769130999096E-2</v>
      </c>
      <c r="AT75" s="522">
        <f>AS75*(1+'2.  Scheme Wide'!$E$46)</f>
        <v>1.6997769130999096E-2</v>
      </c>
      <c r="AU75" s="522">
        <f>AT75*(1+'2.  Scheme Wide'!$E$46)</f>
        <v>1.6997769130999096E-2</v>
      </c>
      <c r="AV75" s="522">
        <f>AU75*(1+'2.  Scheme Wide'!$E$46)</f>
        <v>1.6997769130999096E-2</v>
      </c>
      <c r="AW75" s="522">
        <f>AV75*(1+'2.  Scheme Wide'!$E$46)</f>
        <v>1.6997769130999096E-2</v>
      </c>
      <c r="AX75" s="522">
        <f>AW75*(1+'2.  Scheme Wide'!$E$46)</f>
        <v>1.6997769130999096E-2</v>
      </c>
      <c r="AY75" s="522">
        <f>AX75*(1+'2.  Scheme Wide'!$E$46)</f>
        <v>1.6997769130999096E-2</v>
      </c>
      <c r="AZ75" s="522">
        <f>AY75*(1+'2.  Scheme Wide'!$E$46)</f>
        <v>1.6997769130999096E-2</v>
      </c>
      <c r="BA75" s="522">
        <f>AZ75*(1+'2.  Scheme Wide'!$E$46)</f>
        <v>1.6997769130999096E-2</v>
      </c>
      <c r="BB75" s="522">
        <f>BA75*(1+'2.  Scheme Wide'!$E$46)</f>
        <v>1.6997769130999096E-2</v>
      </c>
      <c r="BC75" s="522">
        <f>BB75*(1+'2.  Scheme Wide'!$E$46)</f>
        <v>1.6997769130999096E-2</v>
      </c>
      <c r="BD75" s="522">
        <f>BC75*(1+'2.  Scheme Wide'!$E$46)</f>
        <v>1.6997769130999096E-2</v>
      </c>
      <c r="BE75" s="522">
        <f>BD75*(1+'2.  Scheme Wide'!$E$46)</f>
        <v>1.6997769130999096E-2</v>
      </c>
      <c r="BF75" s="522">
        <f>BE75*(1+'2.  Scheme Wide'!$E$46)</f>
        <v>1.6997769130999096E-2</v>
      </c>
      <c r="BG75" s="522">
        <f>BF75*(1+'2.  Scheme Wide'!$E$46)</f>
        <v>1.6997769130999096E-2</v>
      </c>
      <c r="BH75" s="522">
        <f>BG75*(1+'2.  Scheme Wide'!$E$46)</f>
        <v>1.6997769130999096E-2</v>
      </c>
      <c r="BI75" s="522">
        <f>BH75*(1+'2.  Scheme Wide'!$E$46)</f>
        <v>1.6997769130999096E-2</v>
      </c>
      <c r="BJ75" s="522">
        <f>BI75*(1+'2.  Scheme Wide'!$E$46)</f>
        <v>1.6997769130999096E-2</v>
      </c>
      <c r="BK75" s="522">
        <f>BJ75*(1+'2.  Scheme Wide'!$E$46)</f>
        <v>1.6997769130999096E-2</v>
      </c>
      <c r="BL75" s="522">
        <f>BK75*(1+'2.  Scheme Wide'!$E$46)</f>
        <v>1.6997769130999096E-2</v>
      </c>
      <c r="BM75" s="522">
        <f>BL75*(1+'2.  Scheme Wide'!$E$46)</f>
        <v>1.6997769130999096E-2</v>
      </c>
      <c r="BN75" s="522">
        <f>BM75*(1+'2.  Scheme Wide'!$E$46)</f>
        <v>1.6997769130999096E-2</v>
      </c>
      <c r="BO75" s="522">
        <f>BN75*(1+'2.  Scheme Wide'!$E$46)</f>
        <v>1.6997769130999096E-2</v>
      </c>
      <c r="BP75" s="522">
        <f>BO75*(1+'2.  Scheme Wide'!$E$46)</f>
        <v>1.6997769130999096E-2</v>
      </c>
      <c r="BQ75" s="522">
        <f>BP75*(1+'2.  Scheme Wide'!$E$46)</f>
        <v>1.6997769130999096E-2</v>
      </c>
      <c r="BR75" s="522">
        <f>BQ75*(1+'2.  Scheme Wide'!$E$46)</f>
        <v>1.6997769130999096E-2</v>
      </c>
      <c r="BS75" s="522">
        <f>BR75*(1+'2.  Scheme Wide'!$E$46)</f>
        <v>1.6997769130999096E-2</v>
      </c>
      <c r="BT75" s="522">
        <f>BS75*(1+'2.  Scheme Wide'!$E$46)</f>
        <v>1.6997769130999096E-2</v>
      </c>
      <c r="BU75" s="522">
        <f>BT75*(1+'2.  Scheme Wide'!$E$46)</f>
        <v>1.6997769130999096E-2</v>
      </c>
      <c r="BV75" s="522">
        <f>BU75*(1+'2.  Scheme Wide'!$E$46)</f>
        <v>1.6997769130999096E-2</v>
      </c>
      <c r="BW75" s="522">
        <f>BV75*(1+'2.  Scheme Wide'!$E$46)</f>
        <v>1.6997769130999096E-2</v>
      </c>
      <c r="BX75" s="522">
        <f>BW75*(1+'2.  Scheme Wide'!$E$46)</f>
        <v>1.6997769130999096E-2</v>
      </c>
      <c r="BY75" s="522">
        <f>BX75*(1+'2.  Scheme Wide'!$E$46)</f>
        <v>1.6997769130999096E-2</v>
      </c>
      <c r="BZ75" s="522">
        <f>BY75*(1+'2.  Scheme Wide'!$E$46)</f>
        <v>1.6997769130999096E-2</v>
      </c>
      <c r="CA75" s="522">
        <f>BZ75*(1+'2.  Scheme Wide'!$E$46)</f>
        <v>1.6997769130999096E-2</v>
      </c>
      <c r="CB75" s="522">
        <f>CA75*(1+'2.  Scheme Wide'!$E$46)</f>
        <v>1.6997769130999096E-2</v>
      </c>
      <c r="CC75" s="522">
        <f>CB75*(1+'2.  Scheme Wide'!$E$46)</f>
        <v>1.6997769130999096E-2</v>
      </c>
      <c r="CD75" s="522">
        <f>CC75*(1+'2.  Scheme Wide'!$E$46)</f>
        <v>1.6997769130999096E-2</v>
      </c>
      <c r="CE75" s="522">
        <f>CD75*(1+'2.  Scheme Wide'!$E$46)</f>
        <v>1.6997769130999096E-2</v>
      </c>
      <c r="CF75" s="522">
        <f>CE75*(1+'2.  Scheme Wide'!$E$46)</f>
        <v>1.6997769130999096E-2</v>
      </c>
      <c r="CG75" s="522">
        <f>CF75*(1+'2.  Scheme Wide'!$E$46)</f>
        <v>1.6997769130999096E-2</v>
      </c>
      <c r="CH75" s="522">
        <f>CG75*(1+'2.  Scheme Wide'!$E$46)</f>
        <v>1.6997769130999096E-2</v>
      </c>
      <c r="CI75" s="522">
        <f>CH75*(1+'2.  Scheme Wide'!$E$46)</f>
        <v>1.6997769130999096E-2</v>
      </c>
      <c r="CJ75"/>
      <c r="CK75"/>
    </row>
    <row r="76" spans="2:89">
      <c r="B76" s="508" t="s">
        <v>516</v>
      </c>
      <c r="D76" s="522">
        <f t="shared" si="60"/>
        <v>2.5815369153459944E-2</v>
      </c>
      <c r="E76" s="522">
        <f>D76*(1+'2.  Scheme Wide'!$E$46)</f>
        <v>2.5815369153459944E-2</v>
      </c>
      <c r="F76" s="522">
        <f>E76*(1+'2.  Scheme Wide'!$E$46)</f>
        <v>2.5815369153459944E-2</v>
      </c>
      <c r="G76" s="522">
        <f>F76*(1+'2.  Scheme Wide'!$E$46)</f>
        <v>2.5815369153459944E-2</v>
      </c>
      <c r="H76" s="522">
        <f>G76*(1+'2.  Scheme Wide'!$E$46)</f>
        <v>2.5815369153459944E-2</v>
      </c>
      <c r="I76" s="522">
        <f>H76*(1+'2.  Scheme Wide'!$E$46)</f>
        <v>2.5815369153459944E-2</v>
      </c>
      <c r="J76" s="522">
        <f>I76*(1+'2.  Scheme Wide'!$E$46)</f>
        <v>2.5815369153459944E-2</v>
      </c>
      <c r="K76" s="522">
        <f>J76*(1+'2.  Scheme Wide'!$E$46)</f>
        <v>2.5815369153459944E-2</v>
      </c>
      <c r="L76" s="522">
        <f>K76*(1+'2.  Scheme Wide'!$E$46)</f>
        <v>2.5815369153459944E-2</v>
      </c>
      <c r="M76" s="522">
        <f>L76*(1+'2.  Scheme Wide'!$E$46)</f>
        <v>2.5815369153459944E-2</v>
      </c>
      <c r="N76" s="522">
        <f>M76*(1+'2.  Scheme Wide'!$E$46)</f>
        <v>2.5815369153459944E-2</v>
      </c>
      <c r="O76" s="522">
        <f>N76*(1+'2.  Scheme Wide'!$E$46)</f>
        <v>2.5815369153459944E-2</v>
      </c>
      <c r="P76" s="522">
        <f>O76*(1+'2.  Scheme Wide'!$E$46)</f>
        <v>2.5815369153459944E-2</v>
      </c>
      <c r="Q76" s="522">
        <f>P76*(1+'2.  Scheme Wide'!$E$46)</f>
        <v>2.5815369153459944E-2</v>
      </c>
      <c r="R76" s="522">
        <f>Q76*(1+'2.  Scheme Wide'!$E$46)</f>
        <v>2.5815369153459944E-2</v>
      </c>
      <c r="S76" s="522">
        <f>R76*(1+'2.  Scheme Wide'!$E$46)</f>
        <v>2.5815369153459944E-2</v>
      </c>
      <c r="T76" s="522">
        <f>S76*(1+'2.  Scheme Wide'!$E$46)</f>
        <v>2.5815369153459944E-2</v>
      </c>
      <c r="U76" s="522">
        <f>T76*(1+'2.  Scheme Wide'!$E$46)</f>
        <v>2.5815369153459944E-2</v>
      </c>
      <c r="V76" s="522">
        <f>U76*(1+'2.  Scheme Wide'!$E$46)</f>
        <v>2.5815369153459944E-2</v>
      </c>
      <c r="W76" s="522">
        <f>V76*(1+'2.  Scheme Wide'!$E$46)</f>
        <v>2.5815369153459944E-2</v>
      </c>
      <c r="X76" s="522">
        <f>W76*(1+'2.  Scheme Wide'!$E$46)</f>
        <v>2.5815369153459944E-2</v>
      </c>
      <c r="Y76" s="522">
        <f>X76*(1+'2.  Scheme Wide'!$E$46)</f>
        <v>2.5815369153459944E-2</v>
      </c>
      <c r="Z76" s="522">
        <f>Y76*(1+'2.  Scheme Wide'!$E$46)</f>
        <v>2.5815369153459944E-2</v>
      </c>
      <c r="AA76" s="522">
        <f>Z76*(1+'2.  Scheme Wide'!$E$46)</f>
        <v>2.5815369153459944E-2</v>
      </c>
      <c r="AB76" s="522">
        <f>AA76*(1+'2.  Scheme Wide'!$E$46)</f>
        <v>2.5815369153459944E-2</v>
      </c>
      <c r="AC76" s="522">
        <f>AB76*(1+'2.  Scheme Wide'!$E$46)</f>
        <v>2.5815369153459944E-2</v>
      </c>
      <c r="AD76" s="522">
        <f>AC76*(1+'2.  Scheme Wide'!$E$46)</f>
        <v>2.5815369153459944E-2</v>
      </c>
      <c r="AE76" s="522">
        <f>AD76*(1+'2.  Scheme Wide'!$E$46)</f>
        <v>2.5815369153459944E-2</v>
      </c>
      <c r="AF76" s="522">
        <f>AE76*(1+'2.  Scheme Wide'!$E$46)</f>
        <v>2.5815369153459944E-2</v>
      </c>
      <c r="AG76" s="522">
        <f>AF76*(1+'2.  Scheme Wide'!$E$46)</f>
        <v>2.5815369153459944E-2</v>
      </c>
      <c r="AH76" s="522">
        <f>AG76*(1+'2.  Scheme Wide'!$E$46)</f>
        <v>2.5815369153459944E-2</v>
      </c>
      <c r="AI76" s="522">
        <f>AH76*(1+'2.  Scheme Wide'!$E$46)</f>
        <v>2.5815369153459944E-2</v>
      </c>
      <c r="AJ76" s="522">
        <f>AI76*(1+'2.  Scheme Wide'!$E$46)</f>
        <v>2.5815369153459944E-2</v>
      </c>
      <c r="AK76" s="522">
        <f>AJ76*(1+'2.  Scheme Wide'!$E$46)</f>
        <v>2.5815369153459944E-2</v>
      </c>
      <c r="AL76" s="522">
        <f>AK76*(1+'2.  Scheme Wide'!$E$46)</f>
        <v>2.5815369153459944E-2</v>
      </c>
      <c r="AM76" s="522">
        <f>AL76*(1+'2.  Scheme Wide'!$E$46)</f>
        <v>2.5815369153459944E-2</v>
      </c>
      <c r="AN76" s="522">
        <f>AM76*(1+'2.  Scheme Wide'!$E$46)</f>
        <v>2.5815369153459944E-2</v>
      </c>
      <c r="AO76" s="522">
        <f>AN76*(1+'2.  Scheme Wide'!$E$46)</f>
        <v>2.5815369153459944E-2</v>
      </c>
      <c r="AP76" s="522">
        <f>AO76*(1+'2.  Scheme Wide'!$E$46)</f>
        <v>2.5815369153459944E-2</v>
      </c>
      <c r="AQ76" s="522">
        <f>AP76*(1+'2.  Scheme Wide'!$E$46)</f>
        <v>2.5815369153459944E-2</v>
      </c>
      <c r="AR76" s="522">
        <f>AQ76*(1+'2.  Scheme Wide'!$E$46)</f>
        <v>2.5815369153459944E-2</v>
      </c>
      <c r="AS76" s="522">
        <f>AR76*(1+'2.  Scheme Wide'!$E$46)</f>
        <v>2.5815369153459944E-2</v>
      </c>
      <c r="AT76" s="522">
        <f>AS76*(1+'2.  Scheme Wide'!$E$46)</f>
        <v>2.5815369153459944E-2</v>
      </c>
      <c r="AU76" s="522">
        <f>AT76*(1+'2.  Scheme Wide'!$E$46)</f>
        <v>2.5815369153459944E-2</v>
      </c>
      <c r="AV76" s="522">
        <f>AU76*(1+'2.  Scheme Wide'!$E$46)</f>
        <v>2.5815369153459944E-2</v>
      </c>
      <c r="AW76" s="522">
        <f>AV76*(1+'2.  Scheme Wide'!$E$46)</f>
        <v>2.5815369153459944E-2</v>
      </c>
      <c r="AX76" s="522">
        <f>AW76*(1+'2.  Scheme Wide'!$E$46)</f>
        <v>2.5815369153459944E-2</v>
      </c>
      <c r="AY76" s="522">
        <f>AX76*(1+'2.  Scheme Wide'!$E$46)</f>
        <v>2.5815369153459944E-2</v>
      </c>
      <c r="AZ76" s="522">
        <f>AY76*(1+'2.  Scheme Wide'!$E$46)</f>
        <v>2.5815369153459944E-2</v>
      </c>
      <c r="BA76" s="522">
        <f>AZ76*(1+'2.  Scheme Wide'!$E$46)</f>
        <v>2.5815369153459944E-2</v>
      </c>
      <c r="BB76" s="522">
        <f>BA76*(1+'2.  Scheme Wide'!$E$46)</f>
        <v>2.5815369153459944E-2</v>
      </c>
      <c r="BC76" s="522">
        <f>BB76*(1+'2.  Scheme Wide'!$E$46)</f>
        <v>2.5815369153459944E-2</v>
      </c>
      <c r="BD76" s="522">
        <f>BC76*(1+'2.  Scheme Wide'!$E$46)</f>
        <v>2.5815369153459944E-2</v>
      </c>
      <c r="BE76" s="522">
        <f>BD76*(1+'2.  Scheme Wide'!$E$46)</f>
        <v>2.5815369153459944E-2</v>
      </c>
      <c r="BF76" s="522">
        <f>BE76*(1+'2.  Scheme Wide'!$E$46)</f>
        <v>2.5815369153459944E-2</v>
      </c>
      <c r="BG76" s="522">
        <f>BF76*(1+'2.  Scheme Wide'!$E$46)</f>
        <v>2.5815369153459944E-2</v>
      </c>
      <c r="BH76" s="522">
        <f>BG76*(1+'2.  Scheme Wide'!$E$46)</f>
        <v>2.5815369153459944E-2</v>
      </c>
      <c r="BI76" s="522">
        <f>BH76*(1+'2.  Scheme Wide'!$E$46)</f>
        <v>2.5815369153459944E-2</v>
      </c>
      <c r="BJ76" s="522">
        <f>BI76*(1+'2.  Scheme Wide'!$E$46)</f>
        <v>2.5815369153459944E-2</v>
      </c>
      <c r="BK76" s="522">
        <f>BJ76*(1+'2.  Scheme Wide'!$E$46)</f>
        <v>2.5815369153459944E-2</v>
      </c>
      <c r="BL76" s="522">
        <f>BK76*(1+'2.  Scheme Wide'!$E$46)</f>
        <v>2.5815369153459944E-2</v>
      </c>
      <c r="BM76" s="522">
        <f>BL76*(1+'2.  Scheme Wide'!$E$46)</f>
        <v>2.5815369153459944E-2</v>
      </c>
      <c r="BN76" s="522">
        <f>BM76*(1+'2.  Scheme Wide'!$E$46)</f>
        <v>2.5815369153459944E-2</v>
      </c>
      <c r="BO76" s="522">
        <f>BN76*(1+'2.  Scheme Wide'!$E$46)</f>
        <v>2.5815369153459944E-2</v>
      </c>
      <c r="BP76" s="522">
        <f>BO76*(1+'2.  Scheme Wide'!$E$46)</f>
        <v>2.5815369153459944E-2</v>
      </c>
      <c r="BQ76" s="522">
        <f>BP76*(1+'2.  Scheme Wide'!$E$46)</f>
        <v>2.5815369153459944E-2</v>
      </c>
      <c r="BR76" s="522">
        <f>BQ76*(1+'2.  Scheme Wide'!$E$46)</f>
        <v>2.5815369153459944E-2</v>
      </c>
      <c r="BS76" s="522">
        <f>BR76*(1+'2.  Scheme Wide'!$E$46)</f>
        <v>2.5815369153459944E-2</v>
      </c>
      <c r="BT76" s="522">
        <f>BS76*(1+'2.  Scheme Wide'!$E$46)</f>
        <v>2.5815369153459944E-2</v>
      </c>
      <c r="BU76" s="522">
        <f>BT76*(1+'2.  Scheme Wide'!$E$46)</f>
        <v>2.5815369153459944E-2</v>
      </c>
      <c r="BV76" s="522">
        <f>BU76*(1+'2.  Scheme Wide'!$E$46)</f>
        <v>2.5815369153459944E-2</v>
      </c>
      <c r="BW76" s="522">
        <f>BV76*(1+'2.  Scheme Wide'!$E$46)</f>
        <v>2.5815369153459944E-2</v>
      </c>
      <c r="BX76" s="522">
        <f>BW76*(1+'2.  Scheme Wide'!$E$46)</f>
        <v>2.5815369153459944E-2</v>
      </c>
      <c r="BY76" s="522">
        <f>BX76*(1+'2.  Scheme Wide'!$E$46)</f>
        <v>2.5815369153459944E-2</v>
      </c>
      <c r="BZ76" s="522">
        <f>BY76*(1+'2.  Scheme Wide'!$E$46)</f>
        <v>2.5815369153459944E-2</v>
      </c>
      <c r="CA76" s="522">
        <f>BZ76*(1+'2.  Scheme Wide'!$E$46)</f>
        <v>2.5815369153459944E-2</v>
      </c>
      <c r="CB76" s="522">
        <f>CA76*(1+'2.  Scheme Wide'!$E$46)</f>
        <v>2.5815369153459944E-2</v>
      </c>
      <c r="CC76" s="522">
        <f>CB76*(1+'2.  Scheme Wide'!$E$46)</f>
        <v>2.5815369153459944E-2</v>
      </c>
      <c r="CD76" s="522">
        <f>CC76*(1+'2.  Scheme Wide'!$E$46)</f>
        <v>2.5815369153459944E-2</v>
      </c>
      <c r="CE76" s="522">
        <f>CD76*(1+'2.  Scheme Wide'!$E$46)</f>
        <v>2.5815369153459944E-2</v>
      </c>
      <c r="CF76" s="522">
        <f>CE76*(1+'2.  Scheme Wide'!$E$46)</f>
        <v>2.5815369153459944E-2</v>
      </c>
      <c r="CG76" s="522">
        <f>CF76*(1+'2.  Scheme Wide'!$E$46)</f>
        <v>2.5815369153459944E-2</v>
      </c>
      <c r="CH76" s="522">
        <f>CG76*(1+'2.  Scheme Wide'!$E$46)</f>
        <v>2.5815369153459944E-2</v>
      </c>
      <c r="CI76" s="522">
        <f>CH76*(1+'2.  Scheme Wide'!$E$46)</f>
        <v>2.5815369153459944E-2</v>
      </c>
      <c r="CJ76"/>
      <c r="CK76"/>
    </row>
    <row r="77" spans="2:89">
      <c r="B77" s="508"/>
      <c r="D77" s="249"/>
      <c r="E77" s="249"/>
      <c r="F77" s="249"/>
      <c r="G77" s="249"/>
      <c r="H77" s="249"/>
      <c r="I77" s="249"/>
      <c r="J77" s="249"/>
      <c r="K77" s="249"/>
      <c r="L77" s="249"/>
      <c r="M77" s="249"/>
      <c r="N77" s="249"/>
      <c r="O77" s="249"/>
      <c r="P77" s="249"/>
      <c r="Q77" s="364"/>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c r="CD77" s="249"/>
      <c r="CE77" s="249"/>
      <c r="CF77" s="249"/>
      <c r="CG77" s="249"/>
      <c r="CH77" s="249"/>
      <c r="CI77" s="249"/>
      <c r="CJ77"/>
      <c r="CK77"/>
    </row>
    <row r="78" spans="2:89" ht="15.75">
      <c r="B78" s="52" t="s">
        <v>191</v>
      </c>
      <c r="D78" s="249"/>
      <c r="E78" s="522"/>
      <c r="F78" s="522"/>
      <c r="G78" s="249"/>
      <c r="H78" s="249"/>
      <c r="I78" s="249"/>
      <c r="J78" s="249"/>
      <c r="K78" s="249"/>
      <c r="L78" s="249"/>
      <c r="M78" s="249"/>
      <c r="N78" s="249"/>
      <c r="O78" s="249"/>
      <c r="P78" s="249"/>
      <c r="Q78" s="364"/>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249"/>
      <c r="BU78" s="249"/>
      <c r="BV78" s="249"/>
      <c r="BW78" s="249"/>
      <c r="BX78" s="249"/>
      <c r="BY78" s="249"/>
      <c r="BZ78" s="249"/>
      <c r="CA78" s="249"/>
      <c r="CB78" s="249"/>
      <c r="CC78" s="249"/>
      <c r="CD78" s="249"/>
      <c r="CE78" s="249"/>
      <c r="CF78" s="249"/>
      <c r="CG78" s="249"/>
      <c r="CH78" s="249"/>
      <c r="CI78" s="249"/>
      <c r="CJ78"/>
      <c r="CK78"/>
    </row>
    <row r="79" spans="2:89">
      <c r="B79" s="44" t="s">
        <v>172</v>
      </c>
      <c r="D79" s="314">
        <f>(((D46-D57)*'3. Site Based'!$E$7)*'1. Landuse'!$C$20)/1000000-D68</f>
        <v>4.93920972644377</v>
      </c>
      <c r="E79" s="314">
        <f>(((E46-E57)*'3. Site Based'!$E$7)*'1. Landuse'!$C$20)/1000000-E68</f>
        <v>4.93920972644377</v>
      </c>
      <c r="F79" s="314">
        <f>(((F46-F57)*'3. Site Based'!$E$7)*'1. Landuse'!$C$20)/1000000-F68</f>
        <v>4.93920972644377</v>
      </c>
      <c r="G79" s="314">
        <f>(((G46-G57)*'3. Site Based'!$E$7)*'1. Landuse'!$C$20)/1000000-G68</f>
        <v>4.93920972644377</v>
      </c>
      <c r="H79" s="314">
        <f>(((H46-H57)*'3. Site Based'!$E$7)*'1. Landuse'!$C$20)/1000000-H68</f>
        <v>4.93920972644377</v>
      </c>
      <c r="I79" s="314">
        <f>(((I46-I57)*'3. Site Based'!$E$7)*'1. Landuse'!$C$20)/1000000-I68</f>
        <v>4.93920972644377</v>
      </c>
      <c r="J79" s="314">
        <f>(((J46-J57)*'3. Site Based'!$E$7)*'1. Landuse'!$C$20)/1000000-J68</f>
        <v>4.93920972644377</v>
      </c>
      <c r="K79" s="314">
        <f>(((K46-K57)*'3. Site Based'!$E$7)*'1. Landuse'!$C$20)/1000000-K68</f>
        <v>4.93920972644377</v>
      </c>
      <c r="L79" s="314">
        <f>(((L46-L57)*'3. Site Based'!$E$7)*'1. Landuse'!$C$20)/1000000-L68</f>
        <v>4.93920972644377</v>
      </c>
      <c r="M79" s="314">
        <f>(((M46-M57)*'3. Site Based'!$E$7)*'1. Landuse'!$C$20)/1000000-M68</f>
        <v>4.93920972644377</v>
      </c>
      <c r="N79" s="314">
        <f>(((N46-N57)*'3. Site Based'!$E$7)*'1. Landuse'!$C$20)/1000000-N68</f>
        <v>4.93920972644377</v>
      </c>
      <c r="O79" s="314">
        <f>(((O46-O57)*'3. Site Based'!$E$7)*'1. Landuse'!$C$20)/1000000-O68</f>
        <v>4.93920972644377</v>
      </c>
      <c r="P79" s="314">
        <f>(((P46-P57)*'3. Site Based'!$E$7)*'1. Landuse'!$C$20)/1000000-P68</f>
        <v>4.93920972644377</v>
      </c>
      <c r="Q79" s="314">
        <f>(((Q46-Q57)*'3. Site Based'!$E$7)*'1. Landuse'!$C$20)/1000000-Q68</f>
        <v>4.93920972644377</v>
      </c>
      <c r="R79" s="314">
        <f>(((R46-R57)*'3. Site Based'!$E$7)*'1. Landuse'!$C$20)/1000000-R68</f>
        <v>4.93920972644377</v>
      </c>
      <c r="S79" s="314">
        <f>(((S46-S57)*'3. Site Based'!$E$7)*'1. Landuse'!$C$20)/1000000-S68</f>
        <v>4.93920972644377</v>
      </c>
      <c r="T79" s="314">
        <f>(((T46-T57)*'3. Site Based'!$E$7)*'1. Landuse'!$C$20)/1000000-T68</f>
        <v>4.93920972644377</v>
      </c>
      <c r="U79" s="314">
        <f>(((U46-U57)*'3. Site Based'!$E$7)*'1. Landuse'!$C$20)/1000000-U68</f>
        <v>4.93920972644377</v>
      </c>
      <c r="V79" s="314">
        <f>(((V46-V57)*'3. Site Based'!$E$7)*'1. Landuse'!$C$20)/1000000-V68</f>
        <v>4.93920972644377</v>
      </c>
      <c r="W79" s="314">
        <f>(((W46-W57)*'3. Site Based'!$E$7)*'1. Landuse'!$C$20)/1000000-W68</f>
        <v>4.93920972644377</v>
      </c>
      <c r="X79" s="314">
        <f>(((X46-X57)*'3. Site Based'!$E$7)*'1. Landuse'!$C$20)/1000000-X68</f>
        <v>4.93920972644377</v>
      </c>
      <c r="Y79" s="314">
        <f>(((Y46-Y57)*'3. Site Based'!$E$7)*'1. Landuse'!$C$20)/1000000-Y68</f>
        <v>4.93920972644377</v>
      </c>
      <c r="Z79" s="314">
        <f>(((Z46-Z57)*'3. Site Based'!$E$7)*'1. Landuse'!$C$20)/1000000-Z68</f>
        <v>4.93920972644377</v>
      </c>
      <c r="AA79" s="314">
        <f>(((AA46-AA57)*'3. Site Based'!$E$7)*'1. Landuse'!$C$20)/1000000-AA68</f>
        <v>4.93920972644377</v>
      </c>
      <c r="AB79" s="314">
        <f>(((AB46-AB57)*'3. Site Based'!$E$7)*'1. Landuse'!$C$20)/1000000-AB68</f>
        <v>4.93920972644377</v>
      </c>
      <c r="AC79" s="314">
        <f>(((AC46-AC57)*'3. Site Based'!$E$7)*'1. Landuse'!$C$20)/1000000-AC68</f>
        <v>4.93920972644377</v>
      </c>
      <c r="AD79" s="314">
        <f>(((AD46-AD57)*'3. Site Based'!$E$7)*'1. Landuse'!$C$20)/1000000-AD68</f>
        <v>4.93920972644377</v>
      </c>
      <c r="AE79" s="314">
        <f>(((AE46-AE57)*'3. Site Based'!$E$7)*'1. Landuse'!$C$20)/1000000-AE68</f>
        <v>4.93920972644377</v>
      </c>
      <c r="AF79" s="314">
        <f>(((AF46-AF57)*'3. Site Based'!$E$7)*'1. Landuse'!$C$20)/1000000-AF68</f>
        <v>4.93920972644377</v>
      </c>
      <c r="AG79" s="314">
        <f>(((AG46-AG57)*'3. Site Based'!$E$7)*'1. Landuse'!$C$20)/1000000-AG68</f>
        <v>4.93920972644377</v>
      </c>
      <c r="AH79" s="314">
        <f>(((AH46-AH57)*'3. Site Based'!$E$7)*'1. Landuse'!$C$20)/1000000-AH68</f>
        <v>4.93920972644377</v>
      </c>
      <c r="AI79" s="314">
        <f>(((AI46-AI57)*'3. Site Based'!$E$7)*'1. Landuse'!$C$20)/1000000-AI68</f>
        <v>4.93920972644377</v>
      </c>
      <c r="AJ79" s="314">
        <f>(((AJ46-AJ57)*'3. Site Based'!$E$7)*'1. Landuse'!$C$20)/1000000-AJ68</f>
        <v>4.93920972644377</v>
      </c>
      <c r="AK79" s="314">
        <f>(((AK46-AK57)*'3. Site Based'!$E$7)*'1. Landuse'!$C$20)/1000000-AK68</f>
        <v>4.93920972644377</v>
      </c>
      <c r="AL79" s="314">
        <f>(((AL46-AL57)*'3. Site Based'!$E$7)*'1. Landuse'!$C$20)/1000000-AL68</f>
        <v>4.93920972644377</v>
      </c>
      <c r="AM79" s="314">
        <f>(((AM46-AM57)*'3. Site Based'!$E$7)*'1. Landuse'!$C$20)/1000000-AM68</f>
        <v>4.93920972644377</v>
      </c>
      <c r="AN79" s="314">
        <f>(((AN46-AN57)*'3. Site Based'!$E$7)*'1. Landuse'!$C$20)/1000000-AN68</f>
        <v>4.93920972644377</v>
      </c>
      <c r="AO79" s="314">
        <f>(((AO46-AO57)*'3. Site Based'!$E$7)*'1. Landuse'!$C$20)/1000000-AO68</f>
        <v>4.93920972644377</v>
      </c>
      <c r="AP79" s="314">
        <f>(((AP46-AP57)*'3. Site Based'!$E$7)*'1. Landuse'!$C$20)/1000000-AP68</f>
        <v>4.93920972644377</v>
      </c>
      <c r="AQ79" s="314">
        <f>(((AQ46-AQ57)*'3. Site Based'!$E$7)*'1. Landuse'!$C$20)/1000000-AQ68</f>
        <v>4.93920972644377</v>
      </c>
      <c r="AR79" s="314">
        <f>(((AR46-AR57)*'3. Site Based'!$E$7)*'1. Landuse'!$C$20)/1000000-AR68</f>
        <v>4.93920972644377</v>
      </c>
      <c r="AS79" s="314">
        <f>(((AS46-AS57)*'3. Site Based'!$E$7)*'1. Landuse'!$C$20)/1000000-AS68</f>
        <v>4.93920972644377</v>
      </c>
      <c r="AT79" s="314">
        <f>(((AT46-AT57)*'3. Site Based'!$E$7)*'1. Landuse'!$C$20)/1000000-AT68</f>
        <v>4.93920972644377</v>
      </c>
      <c r="AU79" s="314">
        <f>(((AU46-AU57)*'3. Site Based'!$E$7)*'1. Landuse'!$C$20)/1000000-AU68</f>
        <v>4.93920972644377</v>
      </c>
      <c r="AV79" s="314">
        <f>(((AV46-AV57)*'3. Site Based'!$E$7)*'1. Landuse'!$C$20)/1000000-AV68</f>
        <v>4.93920972644377</v>
      </c>
      <c r="AW79" s="314">
        <f>(((AW46-AW57)*'3. Site Based'!$E$7)*'1. Landuse'!$C$20)/1000000-AW68</f>
        <v>4.93920972644377</v>
      </c>
      <c r="AX79" s="314">
        <f>(((AX46-AX57)*'3. Site Based'!$E$7)*'1. Landuse'!$C$20)/1000000-AX68</f>
        <v>4.93920972644377</v>
      </c>
      <c r="AY79" s="314">
        <f>(((AY46-AY57)*'3. Site Based'!$E$7)*'1. Landuse'!$C$20)/1000000-AY68</f>
        <v>4.93920972644377</v>
      </c>
      <c r="AZ79" s="314">
        <f>(((AZ46-AZ57)*'3. Site Based'!$E$7)*'1. Landuse'!$C$20)/1000000-AZ68</f>
        <v>4.93920972644377</v>
      </c>
      <c r="BA79" s="314">
        <f>(((BA46-BA57)*'3. Site Based'!$E$7)*'1. Landuse'!$C$20)/1000000-BA68</f>
        <v>4.93920972644377</v>
      </c>
      <c r="BB79" s="314">
        <f>(((BB46-BB57)*'3. Site Based'!$E$7)*'1. Landuse'!$C$20)/1000000-BB68</f>
        <v>4.93920972644377</v>
      </c>
      <c r="BC79" s="314">
        <f>(((BC46-BC57)*'3. Site Based'!$E$7)*'1. Landuse'!$C$20)/1000000-BC68</f>
        <v>4.93920972644377</v>
      </c>
      <c r="BD79" s="314">
        <f>(((BD46-BD57)*'3. Site Based'!$E$7)*'1. Landuse'!$C$20)/1000000-BD68</f>
        <v>4.93920972644377</v>
      </c>
      <c r="BE79" s="314">
        <f>(((BE46-BE57)*'3. Site Based'!$E$7)*'1. Landuse'!$C$20)/1000000-BE68</f>
        <v>4.93920972644377</v>
      </c>
      <c r="BF79" s="314">
        <f>(((BF46-BF57)*'3. Site Based'!$E$7)*'1. Landuse'!$C$20)/1000000-BF68</f>
        <v>4.93920972644377</v>
      </c>
      <c r="BG79" s="314">
        <f>(((BG46-BG57)*'3. Site Based'!$E$7)*'1. Landuse'!$C$20)/1000000-BG68</f>
        <v>4.93920972644377</v>
      </c>
      <c r="BH79" s="314">
        <f>(((BH46-BH57)*'3. Site Based'!$E$7)*'1. Landuse'!$C$20)/1000000-BH68</f>
        <v>4.93920972644377</v>
      </c>
      <c r="BI79" s="314">
        <f>(((BI46-BI57)*'3. Site Based'!$E$7)*'1. Landuse'!$C$20)/1000000-BI68</f>
        <v>4.93920972644377</v>
      </c>
      <c r="BJ79" s="314">
        <f>(((BJ46-BJ57)*'3. Site Based'!$E$7)*'1. Landuse'!$C$20)/1000000-BJ68</f>
        <v>4.93920972644377</v>
      </c>
      <c r="BK79" s="314">
        <f>(((BK46-BK57)*'3. Site Based'!$E$7)*'1. Landuse'!$C$20)/1000000-BK68</f>
        <v>4.93920972644377</v>
      </c>
      <c r="BL79" s="314">
        <f>(((BL46-BL57)*'3. Site Based'!$E$7)*'1. Landuse'!$C$20)/1000000-BL68</f>
        <v>4.93920972644377</v>
      </c>
      <c r="BM79" s="314">
        <f>(((BM46-BM57)*'3. Site Based'!$E$7)*'1. Landuse'!$C$20)/1000000-BM68</f>
        <v>4.93920972644377</v>
      </c>
      <c r="BN79" s="314">
        <f>(((BN46-BN57)*'3. Site Based'!$E$7)*'1. Landuse'!$C$20)/1000000-BN68</f>
        <v>4.93920972644377</v>
      </c>
      <c r="BO79" s="314">
        <f>(((BO46-BO57)*'3. Site Based'!$E$7)*'1. Landuse'!$C$20)/1000000-BO68</f>
        <v>4.93920972644377</v>
      </c>
      <c r="BP79" s="314">
        <f>(((BP46-BP57)*'3. Site Based'!$E$7)*'1. Landuse'!$C$20)/1000000-BP68</f>
        <v>4.93920972644377</v>
      </c>
      <c r="BQ79" s="314">
        <f>(((BQ46-BQ57)*'3. Site Based'!$E$7)*'1. Landuse'!$C$20)/1000000-BQ68</f>
        <v>4.93920972644377</v>
      </c>
      <c r="BR79" s="314">
        <f>(((BR46-BR57)*'3. Site Based'!$E$7)*'1. Landuse'!$C$20)/1000000-BR68</f>
        <v>4.93920972644377</v>
      </c>
      <c r="BS79" s="314">
        <f>(((BS46-BS57)*'3. Site Based'!$E$7)*'1. Landuse'!$C$20)/1000000-BS68</f>
        <v>4.93920972644377</v>
      </c>
      <c r="BT79" s="314">
        <f>(((BT46-BT57)*'3. Site Based'!$E$7)*'1. Landuse'!$C$20)/1000000-BT68</f>
        <v>4.93920972644377</v>
      </c>
      <c r="BU79" s="314">
        <f>(((BU46-BU57)*'3. Site Based'!$E$7)*'1. Landuse'!$C$20)/1000000-BU68</f>
        <v>4.93920972644377</v>
      </c>
      <c r="BV79" s="314">
        <f>(((BV46-BV57)*'3. Site Based'!$E$7)*'1. Landuse'!$C$20)/1000000-BV68</f>
        <v>4.93920972644377</v>
      </c>
      <c r="BW79" s="314">
        <f>(((BW46-BW57)*'3. Site Based'!$E$7)*'1. Landuse'!$C$20)/1000000-BW68</f>
        <v>4.93920972644377</v>
      </c>
      <c r="BX79" s="314">
        <f>(((BX46-BX57)*'3. Site Based'!$E$7)*'1. Landuse'!$C$20)/1000000-BX68</f>
        <v>4.93920972644377</v>
      </c>
      <c r="BY79" s="314">
        <f>(((BY46-BY57)*'3. Site Based'!$E$7)*'1. Landuse'!$C$20)/1000000-BY68</f>
        <v>4.93920972644377</v>
      </c>
      <c r="BZ79" s="314">
        <f>(((BZ46-BZ57)*'3. Site Based'!$E$7)*'1. Landuse'!$C$20)/1000000-BZ68</f>
        <v>4.93920972644377</v>
      </c>
      <c r="CA79" s="314">
        <f>(((CA46-CA57)*'3. Site Based'!$E$7)*'1. Landuse'!$C$20)/1000000-CA68</f>
        <v>4.93920972644377</v>
      </c>
      <c r="CB79" s="314">
        <f>(((CB46-CB57)*'3. Site Based'!$E$7)*'1. Landuse'!$C$20)/1000000-CB68</f>
        <v>4.93920972644377</v>
      </c>
      <c r="CC79" s="314">
        <f>(((CC46-CC57)*'3. Site Based'!$E$7)*'1. Landuse'!$C$20)/1000000-CC68</f>
        <v>4.93920972644377</v>
      </c>
      <c r="CD79" s="314">
        <f>(((CD46-CD57)*'3. Site Based'!$E$7)*'1. Landuse'!$C$20)/1000000-CD68</f>
        <v>4.93920972644377</v>
      </c>
      <c r="CE79" s="314">
        <f>(((CE46-CE57)*'3. Site Based'!$E$7)*'1. Landuse'!$C$20)/1000000-CE68</f>
        <v>4.93920972644377</v>
      </c>
      <c r="CF79" s="314">
        <f>(((CF46-CF57)*'3. Site Based'!$E$7)*'1. Landuse'!$C$20)/1000000-CF68</f>
        <v>4.93920972644377</v>
      </c>
      <c r="CG79" s="314">
        <f>(((CG46-CG57)*'3. Site Based'!$E$7)*'1. Landuse'!$C$20)/1000000-CG68</f>
        <v>4.93920972644377</v>
      </c>
      <c r="CH79" s="314">
        <f>(((CH46-CH57)*'3. Site Based'!$E$7)*'1. Landuse'!$C$20)/1000000-CH68</f>
        <v>4.93920972644377</v>
      </c>
      <c r="CI79" s="314">
        <f>(((CI46-CI57)*'3. Site Based'!$E$7)*'1. Landuse'!$C$20)/1000000-CI68</f>
        <v>4.93920972644377</v>
      </c>
      <c r="CJ79"/>
      <c r="CK79"/>
    </row>
    <row r="80" spans="2:89">
      <c r="B80" s="44" t="s">
        <v>173</v>
      </c>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c r="AW80" s="314"/>
      <c r="AX80" s="314"/>
      <c r="AY80" s="314"/>
      <c r="AZ80" s="314"/>
      <c r="BA80" s="314"/>
      <c r="BB80" s="314"/>
      <c r="BC80" s="314"/>
      <c r="BD80" s="314"/>
      <c r="BE80" s="314"/>
      <c r="BF80" s="314"/>
      <c r="BG80" s="314"/>
      <c r="BH80" s="314"/>
      <c r="BI80" s="314"/>
      <c r="BJ80" s="314"/>
      <c r="BK80" s="314"/>
      <c r="BL80" s="314"/>
      <c r="BM80" s="314"/>
      <c r="BN80" s="314"/>
      <c r="BO80" s="314"/>
      <c r="BP80" s="314"/>
      <c r="BQ80" s="314"/>
      <c r="BR80" s="314"/>
      <c r="BS80" s="314"/>
      <c r="BT80" s="314"/>
      <c r="BU80" s="314"/>
      <c r="BV80" s="314"/>
      <c r="BW80" s="314"/>
      <c r="BX80" s="314"/>
      <c r="BY80" s="314"/>
      <c r="BZ80" s="314"/>
      <c r="CA80" s="314"/>
      <c r="CB80" s="314"/>
      <c r="CC80" s="314"/>
      <c r="CD80" s="314"/>
      <c r="CE80" s="314"/>
      <c r="CF80" s="314"/>
      <c r="CG80" s="314"/>
      <c r="CH80" s="314"/>
      <c r="CI80" s="314"/>
      <c r="CJ80"/>
      <c r="CK80"/>
    </row>
    <row r="81" spans="2:89">
      <c r="B81" s="44" t="s">
        <v>174</v>
      </c>
      <c r="D81" s="314"/>
      <c r="E81" s="314"/>
      <c r="F81" s="314"/>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314"/>
      <c r="AN81" s="314"/>
      <c r="AO81" s="314"/>
      <c r="AP81" s="314"/>
      <c r="AQ81" s="314"/>
      <c r="AR81" s="314"/>
      <c r="AS81" s="314"/>
      <c r="AT81" s="314"/>
      <c r="AU81" s="314"/>
      <c r="AV81" s="314"/>
      <c r="AW81" s="314"/>
      <c r="AX81" s="314"/>
      <c r="AY81" s="314"/>
      <c r="AZ81" s="314"/>
      <c r="BA81" s="314"/>
      <c r="BB81" s="314"/>
      <c r="BC81" s="314"/>
      <c r="BD81" s="314"/>
      <c r="BE81" s="314"/>
      <c r="BF81" s="314"/>
      <c r="BG81" s="314"/>
      <c r="BH81" s="314"/>
      <c r="BI81" s="314"/>
      <c r="BJ81" s="314"/>
      <c r="BK81" s="314"/>
      <c r="BL81" s="314"/>
      <c r="BM81" s="314"/>
      <c r="BN81" s="314"/>
      <c r="BO81" s="314"/>
      <c r="BP81" s="314"/>
      <c r="BQ81" s="314"/>
      <c r="BR81" s="314"/>
      <c r="BS81" s="314"/>
      <c r="BT81" s="314"/>
      <c r="BU81" s="314"/>
      <c r="BV81" s="314"/>
      <c r="BW81" s="314"/>
      <c r="BX81" s="314"/>
      <c r="BY81" s="314"/>
      <c r="BZ81" s="314"/>
      <c r="CA81" s="314"/>
      <c r="CB81" s="314"/>
      <c r="CC81" s="314"/>
      <c r="CD81" s="314"/>
      <c r="CE81" s="314"/>
      <c r="CF81" s="314"/>
      <c r="CG81" s="314"/>
      <c r="CH81" s="314"/>
      <c r="CI81" s="314"/>
      <c r="CJ81"/>
      <c r="CK81"/>
    </row>
    <row r="82" spans="2:89">
      <c r="B82" s="44" t="s">
        <v>175</v>
      </c>
      <c r="D82" s="314">
        <f>(((D49-D60)*'3. Site Based'!$I$7)*'1. Landuse'!$C$20)/1000000-D71</f>
        <v>0.20685579196217496</v>
      </c>
      <c r="E82" s="314">
        <f>(((E49-E60)*'3. Site Based'!$I$7)*'1. Landuse'!$C$20)/1000000-E71</f>
        <v>0.20685579196217496</v>
      </c>
      <c r="F82" s="314">
        <f>(((F49-F60)*'3. Site Based'!$I$7)*'1. Landuse'!$C$20)/1000000-F71</f>
        <v>0.20685579196217496</v>
      </c>
      <c r="G82" s="314">
        <f>(((G49-G60)*'3. Site Based'!$I$7)*'1. Landuse'!$C$20)/1000000-G71</f>
        <v>0.20685579196217496</v>
      </c>
      <c r="H82" s="314">
        <f>(((H49-H60)*'3. Site Based'!$I$7)*'1. Landuse'!$C$20)/1000000-H71</f>
        <v>0.20685579196217496</v>
      </c>
      <c r="I82" s="314">
        <f>(((I49-I60)*'3. Site Based'!$I$7)*'1. Landuse'!$C$20)/1000000-I71</f>
        <v>0.20685579196217496</v>
      </c>
      <c r="J82" s="314">
        <f>(((J49-J60)*'3. Site Based'!$I$7)*'1. Landuse'!$C$20)/1000000-J71</f>
        <v>0.20685579196217496</v>
      </c>
      <c r="K82" s="314">
        <f>(((K49-K60)*'3. Site Based'!$I$7)*'1. Landuse'!$C$20)/1000000-K71</f>
        <v>0.20685579196217496</v>
      </c>
      <c r="L82" s="314">
        <f>(((L49-L60)*'3. Site Based'!$I$7)*'1. Landuse'!$C$20)/1000000-L71</f>
        <v>0.20685579196217496</v>
      </c>
      <c r="M82" s="314">
        <f>(((M49-M60)*'3. Site Based'!$I$7)*'1. Landuse'!$C$20)/1000000-M71</f>
        <v>0.20685579196217496</v>
      </c>
      <c r="N82" s="314">
        <f>(((N49-N60)*'3. Site Based'!$I$7)*'1. Landuse'!$C$20)/1000000-N71</f>
        <v>0.20685579196217496</v>
      </c>
      <c r="O82" s="314">
        <f>(((O49-O60)*'3. Site Based'!$I$7)*'1. Landuse'!$C$20)/1000000-O71</f>
        <v>0.20685579196217496</v>
      </c>
      <c r="P82" s="314">
        <f>(((P49-P60)*'3. Site Based'!$I$7)*'1. Landuse'!$C$20)/1000000-P71</f>
        <v>0.20685579196217496</v>
      </c>
      <c r="Q82" s="314">
        <f>(((Q49-Q60)*'3. Site Based'!$I$7)*'1. Landuse'!$C$20)/1000000-Q71</f>
        <v>0.20685579196217496</v>
      </c>
      <c r="R82" s="314">
        <f>(((R49-R60)*'3. Site Based'!$I$7)*'1. Landuse'!$C$20)/1000000-R71</f>
        <v>0.20685579196217496</v>
      </c>
      <c r="S82" s="314">
        <f>(((S49-S60)*'3. Site Based'!$I$7)*'1. Landuse'!$C$20)/1000000-S71</f>
        <v>0.20685579196217496</v>
      </c>
      <c r="T82" s="314">
        <f>(((T49-T60)*'3. Site Based'!$I$7)*'1. Landuse'!$C$20)/1000000-T71</f>
        <v>0.20685579196217496</v>
      </c>
      <c r="U82" s="314">
        <f>(((U49-U60)*'3. Site Based'!$I$7)*'1. Landuse'!$C$20)/1000000-U71</f>
        <v>0.20685579196217496</v>
      </c>
      <c r="V82" s="314">
        <f>(((V49-V60)*'3. Site Based'!$I$7)*'1. Landuse'!$C$20)/1000000-V71</f>
        <v>0.20685579196217496</v>
      </c>
      <c r="W82" s="314">
        <f>(((W49-W60)*'3. Site Based'!$I$7)*'1. Landuse'!$C$20)/1000000-W71</f>
        <v>0.20685579196217496</v>
      </c>
      <c r="X82" s="314">
        <f>(((X49-X60)*'3. Site Based'!$I$7)*'1. Landuse'!$C$20)/1000000-X71</f>
        <v>0.20685579196217496</v>
      </c>
      <c r="Y82" s="314">
        <f>(((Y49-Y60)*'3. Site Based'!$I$7)*'1. Landuse'!$C$20)/1000000-Y71</f>
        <v>0.20685579196217496</v>
      </c>
      <c r="Z82" s="314">
        <f>(((Z49-Z60)*'3. Site Based'!$I$7)*'1. Landuse'!$C$20)/1000000-Z71</f>
        <v>0.20685579196217496</v>
      </c>
      <c r="AA82" s="314">
        <f>(((AA49-AA60)*'3. Site Based'!$I$7)*'1. Landuse'!$C$20)/1000000-AA71</f>
        <v>0.20685579196217496</v>
      </c>
      <c r="AB82" s="314">
        <f>(((AB49-AB60)*'3. Site Based'!$I$7)*'1. Landuse'!$C$20)/1000000-AB71</f>
        <v>0.20685579196217496</v>
      </c>
      <c r="AC82" s="314">
        <f>(((AC49-AC60)*'3. Site Based'!$I$7)*'1. Landuse'!$C$20)/1000000-AC71</f>
        <v>0.20685579196217496</v>
      </c>
      <c r="AD82" s="314">
        <f>(((AD49-AD60)*'3. Site Based'!$I$7)*'1. Landuse'!$C$20)/1000000-AD71</f>
        <v>0.20685579196217496</v>
      </c>
      <c r="AE82" s="314">
        <f>(((AE49-AE60)*'3. Site Based'!$I$7)*'1. Landuse'!$C$20)/1000000-AE71</f>
        <v>0.20685579196217496</v>
      </c>
      <c r="AF82" s="314">
        <f>(((AF49-AF60)*'3. Site Based'!$I$7)*'1. Landuse'!$C$20)/1000000-AF71</f>
        <v>0.20685579196217496</v>
      </c>
      <c r="AG82" s="314">
        <f>(((AG49-AG60)*'3. Site Based'!$I$7)*'1. Landuse'!$C$20)/1000000-AG71</f>
        <v>0.20685579196217496</v>
      </c>
      <c r="AH82" s="314">
        <f>(((AH49-AH60)*'3. Site Based'!$I$7)*'1. Landuse'!$C$20)/1000000-AH71</f>
        <v>0.20685579196217496</v>
      </c>
      <c r="AI82" s="314">
        <f>(((AI49-AI60)*'3. Site Based'!$I$7)*'1. Landuse'!$C$20)/1000000-AI71</f>
        <v>0.20685579196217496</v>
      </c>
      <c r="AJ82" s="314">
        <f>(((AJ49-AJ60)*'3. Site Based'!$I$7)*'1. Landuse'!$C$20)/1000000-AJ71</f>
        <v>0.20685579196217496</v>
      </c>
      <c r="AK82" s="314">
        <f>(((AK49-AK60)*'3. Site Based'!$I$7)*'1. Landuse'!$C$20)/1000000-AK71</f>
        <v>0.20685579196217496</v>
      </c>
      <c r="AL82" s="314">
        <f>(((AL49-AL60)*'3. Site Based'!$I$7)*'1. Landuse'!$C$20)/1000000-AL71</f>
        <v>0.20685579196217496</v>
      </c>
      <c r="AM82" s="314">
        <f>(((AM49-AM60)*'3. Site Based'!$I$7)*'1. Landuse'!$C$20)/1000000-AM71</f>
        <v>0.20685579196217496</v>
      </c>
      <c r="AN82" s="314">
        <f>(((AN49-AN60)*'3. Site Based'!$I$7)*'1. Landuse'!$C$20)/1000000-AN71</f>
        <v>0.20685579196217496</v>
      </c>
      <c r="AO82" s="314">
        <f>(((AO49-AO60)*'3. Site Based'!$I$7)*'1. Landuse'!$C$20)/1000000-AO71</f>
        <v>0.20685579196217496</v>
      </c>
      <c r="AP82" s="314">
        <f>(((AP49-AP60)*'3. Site Based'!$I$7)*'1. Landuse'!$C$20)/1000000-AP71</f>
        <v>0.20685579196217496</v>
      </c>
      <c r="AQ82" s="314">
        <f>(((AQ49-AQ60)*'3. Site Based'!$I$7)*'1. Landuse'!$C$20)/1000000-AQ71</f>
        <v>0.20685579196217496</v>
      </c>
      <c r="AR82" s="314">
        <f>(((AR49-AR60)*'3. Site Based'!$I$7)*'1. Landuse'!$C$20)/1000000-AR71</f>
        <v>0.20685579196217496</v>
      </c>
      <c r="AS82" s="314">
        <f>(((AS49-AS60)*'3. Site Based'!$I$7)*'1. Landuse'!$C$20)/1000000-AS71</f>
        <v>0.20685579196217496</v>
      </c>
      <c r="AT82" s="314">
        <f>(((AT49-AT60)*'3. Site Based'!$I$7)*'1. Landuse'!$C$20)/1000000-AT71</f>
        <v>0.20685579196217496</v>
      </c>
      <c r="AU82" s="314">
        <f>(((AU49-AU60)*'3. Site Based'!$I$7)*'1. Landuse'!$C$20)/1000000-AU71</f>
        <v>0.20685579196217496</v>
      </c>
      <c r="AV82" s="314">
        <f>(((AV49-AV60)*'3. Site Based'!$I$7)*'1. Landuse'!$C$20)/1000000-AV71</f>
        <v>0.20685579196217496</v>
      </c>
      <c r="AW82" s="314">
        <f>(((AW49-AW60)*'3. Site Based'!$I$7)*'1. Landuse'!$C$20)/1000000-AW71</f>
        <v>0.20685579196217496</v>
      </c>
      <c r="AX82" s="314">
        <f>(((AX49-AX60)*'3. Site Based'!$I$7)*'1. Landuse'!$C$20)/1000000-AX71</f>
        <v>0.20685579196217496</v>
      </c>
      <c r="AY82" s="314">
        <f>(((AY49-AY60)*'3. Site Based'!$I$7)*'1. Landuse'!$C$20)/1000000-AY71</f>
        <v>0.20685579196217496</v>
      </c>
      <c r="AZ82" s="314">
        <f>(((AZ49-AZ60)*'3. Site Based'!$I$7)*'1. Landuse'!$C$20)/1000000-AZ71</f>
        <v>0.20685579196217496</v>
      </c>
      <c r="BA82" s="314">
        <f>(((BA49-BA60)*'3. Site Based'!$I$7)*'1. Landuse'!$C$20)/1000000-BA71</f>
        <v>0.20685579196217496</v>
      </c>
      <c r="BB82" s="314">
        <f>(((BB49-BB60)*'3. Site Based'!$I$7)*'1. Landuse'!$C$20)/1000000-BB71</f>
        <v>0.20685579196217496</v>
      </c>
      <c r="BC82" s="314">
        <f>(((BC49-BC60)*'3. Site Based'!$I$7)*'1. Landuse'!$C$20)/1000000-BC71</f>
        <v>0.20685579196217496</v>
      </c>
      <c r="BD82" s="314">
        <f>(((BD49-BD60)*'3. Site Based'!$I$7)*'1. Landuse'!$C$20)/1000000-BD71</f>
        <v>0.20685579196217496</v>
      </c>
      <c r="BE82" s="314">
        <f>(((BE49-BE60)*'3. Site Based'!$I$7)*'1. Landuse'!$C$20)/1000000-BE71</f>
        <v>0.20685579196217496</v>
      </c>
      <c r="BF82" s="314">
        <f>(((BF49-BF60)*'3. Site Based'!$I$7)*'1. Landuse'!$C$20)/1000000-BF71</f>
        <v>0.20685579196217496</v>
      </c>
      <c r="BG82" s="314">
        <f>(((BG49-BG60)*'3. Site Based'!$I$7)*'1. Landuse'!$C$20)/1000000-BG71</f>
        <v>0.20685579196217496</v>
      </c>
      <c r="BH82" s="314">
        <f>(((BH49-BH60)*'3. Site Based'!$I$7)*'1. Landuse'!$C$20)/1000000-BH71</f>
        <v>0.20685579196217496</v>
      </c>
      <c r="BI82" s="314">
        <f>(((BI49-BI60)*'3. Site Based'!$I$7)*'1. Landuse'!$C$20)/1000000-BI71</f>
        <v>0.20685579196217496</v>
      </c>
      <c r="BJ82" s="314">
        <f>(((BJ49-BJ60)*'3. Site Based'!$I$7)*'1. Landuse'!$C$20)/1000000-BJ71</f>
        <v>0.20685579196217496</v>
      </c>
      <c r="BK82" s="314">
        <f>(((BK49-BK60)*'3. Site Based'!$I$7)*'1. Landuse'!$C$20)/1000000-BK71</f>
        <v>0.20685579196217496</v>
      </c>
      <c r="BL82" s="314">
        <f>(((BL49-BL60)*'3. Site Based'!$I$7)*'1. Landuse'!$C$20)/1000000-BL71</f>
        <v>0.20685579196217496</v>
      </c>
      <c r="BM82" s="314">
        <f>(((BM49-BM60)*'3. Site Based'!$I$7)*'1. Landuse'!$C$20)/1000000-BM71</f>
        <v>0.20685579196217496</v>
      </c>
      <c r="BN82" s="314">
        <f>(((BN49-BN60)*'3. Site Based'!$I$7)*'1. Landuse'!$C$20)/1000000-BN71</f>
        <v>0.20685579196217496</v>
      </c>
      <c r="BO82" s="314">
        <f>(((BO49-BO60)*'3. Site Based'!$I$7)*'1. Landuse'!$C$20)/1000000-BO71</f>
        <v>0.20685579196217496</v>
      </c>
      <c r="BP82" s="314">
        <f>(((BP49-BP60)*'3. Site Based'!$I$7)*'1. Landuse'!$C$20)/1000000-BP71</f>
        <v>0.20685579196217496</v>
      </c>
      <c r="BQ82" s="314">
        <f>(((BQ49-BQ60)*'3. Site Based'!$I$7)*'1. Landuse'!$C$20)/1000000-BQ71</f>
        <v>0.20685579196217496</v>
      </c>
      <c r="BR82" s="314">
        <f>(((BR49-BR60)*'3. Site Based'!$I$7)*'1. Landuse'!$C$20)/1000000-BR71</f>
        <v>0.20685579196217496</v>
      </c>
      <c r="BS82" s="314">
        <f>(((BS49-BS60)*'3. Site Based'!$I$7)*'1. Landuse'!$C$20)/1000000-BS71</f>
        <v>0.20685579196217496</v>
      </c>
      <c r="BT82" s="314">
        <f>(((BT49-BT60)*'3. Site Based'!$I$7)*'1. Landuse'!$C$20)/1000000-BT71</f>
        <v>0.20685579196217496</v>
      </c>
      <c r="BU82" s="314">
        <f>(((BU49-BU60)*'3. Site Based'!$I$7)*'1. Landuse'!$C$20)/1000000-BU71</f>
        <v>0.20685579196217496</v>
      </c>
      <c r="BV82" s="314">
        <f>(((BV49-BV60)*'3. Site Based'!$I$7)*'1. Landuse'!$C$20)/1000000-BV71</f>
        <v>0.20685579196217496</v>
      </c>
      <c r="BW82" s="314">
        <f>(((BW49-BW60)*'3. Site Based'!$I$7)*'1. Landuse'!$C$20)/1000000-BW71</f>
        <v>0.20685579196217496</v>
      </c>
      <c r="BX82" s="314">
        <f>(((BX49-BX60)*'3. Site Based'!$I$7)*'1. Landuse'!$C$20)/1000000-BX71</f>
        <v>0.20685579196217496</v>
      </c>
      <c r="BY82" s="314">
        <f>(((BY49-BY60)*'3. Site Based'!$I$7)*'1. Landuse'!$C$20)/1000000-BY71</f>
        <v>0.20685579196217496</v>
      </c>
      <c r="BZ82" s="314">
        <f>(((BZ49-BZ60)*'3. Site Based'!$I$7)*'1. Landuse'!$C$20)/1000000-BZ71</f>
        <v>0.20685579196217496</v>
      </c>
      <c r="CA82" s="314">
        <f>(((CA49-CA60)*'3. Site Based'!$I$7)*'1. Landuse'!$C$20)/1000000-CA71</f>
        <v>0.20685579196217496</v>
      </c>
      <c r="CB82" s="314">
        <f>(((CB49-CB60)*'3. Site Based'!$I$7)*'1. Landuse'!$C$20)/1000000-CB71</f>
        <v>0.20685579196217496</v>
      </c>
      <c r="CC82" s="314">
        <f>(((CC49-CC60)*'3. Site Based'!$I$7)*'1. Landuse'!$C$20)/1000000-CC71</f>
        <v>0.20685579196217496</v>
      </c>
      <c r="CD82" s="314">
        <f>(((CD49-CD60)*'3. Site Based'!$I$7)*'1. Landuse'!$C$20)/1000000-CD71</f>
        <v>0.20685579196217496</v>
      </c>
      <c r="CE82" s="314">
        <f>(((CE49-CE60)*'3. Site Based'!$I$7)*'1. Landuse'!$C$20)/1000000-CE71</f>
        <v>0.20685579196217496</v>
      </c>
      <c r="CF82" s="314">
        <f>(((CF49-CF60)*'3. Site Based'!$I$7)*'1. Landuse'!$C$20)/1000000-CF71</f>
        <v>0.20685579196217496</v>
      </c>
      <c r="CG82" s="314">
        <f>(((CG49-CG60)*'3. Site Based'!$I$7)*'1. Landuse'!$C$20)/1000000-CG71</f>
        <v>0.20685579196217496</v>
      </c>
      <c r="CH82" s="314">
        <f>(((CH49-CH60)*'3. Site Based'!$I$7)*'1. Landuse'!$C$20)/1000000-CH71</f>
        <v>0.20685579196217496</v>
      </c>
      <c r="CI82" s="314">
        <f>(((CI49-CI60)*'3. Site Based'!$I$7)*'1. Landuse'!$C$20)/1000000-CI71</f>
        <v>0.20685579196217496</v>
      </c>
      <c r="CJ82"/>
      <c r="CK82"/>
    </row>
    <row r="83" spans="2:89">
      <c r="B83" s="44" t="s">
        <v>176</v>
      </c>
      <c r="D83" s="314">
        <f>(((D50-D61)*'3. Site Based'!$I$7)*'1. Landuse'!$C$20)/1000000-D72</f>
        <v>2.8812056737588652</v>
      </c>
      <c r="E83" s="314">
        <f>(((E50-E61)*'3. Site Based'!$I$7)*'1. Landuse'!$C$20)/1000000-E72</f>
        <v>2.8812056737588652</v>
      </c>
      <c r="F83" s="314">
        <f>(((F50-F61)*'3. Site Based'!$I$7)*'1. Landuse'!$C$20)/1000000-F72</f>
        <v>2.8812056737588652</v>
      </c>
      <c r="G83" s="314">
        <f>(((G50-G61)*'3. Site Based'!$I$7)*'1. Landuse'!$C$20)/1000000-G72</f>
        <v>2.8812056737588652</v>
      </c>
      <c r="H83" s="314">
        <f>(((H50-H61)*'3. Site Based'!$I$7)*'1. Landuse'!$C$20)/1000000-H72</f>
        <v>2.8812056737588652</v>
      </c>
      <c r="I83" s="314">
        <f>(((I50-I61)*'3. Site Based'!$I$7)*'1. Landuse'!$C$20)/1000000-I72</f>
        <v>2.8812056737588652</v>
      </c>
      <c r="J83" s="314">
        <f>(((J50-J61)*'3. Site Based'!$I$7)*'1. Landuse'!$C$20)/1000000-J72</f>
        <v>2.8812056737588652</v>
      </c>
      <c r="K83" s="314">
        <f>(((K50-K61)*'3. Site Based'!$I$7)*'1. Landuse'!$C$20)/1000000-K72</f>
        <v>2.8812056737588652</v>
      </c>
      <c r="L83" s="314">
        <f>(((L50-L61)*'3. Site Based'!$I$7)*'1. Landuse'!$C$20)/1000000-L72</f>
        <v>2.8812056737588652</v>
      </c>
      <c r="M83" s="314">
        <f>(((M50-M61)*'3. Site Based'!$I$7)*'1. Landuse'!$C$20)/1000000-M72</f>
        <v>2.8812056737588652</v>
      </c>
      <c r="N83" s="314">
        <f>(((N50-N61)*'3. Site Based'!$I$7)*'1. Landuse'!$C$20)/1000000-N72</f>
        <v>2.8812056737588652</v>
      </c>
      <c r="O83" s="314">
        <f>(((O50-O61)*'3. Site Based'!$I$7)*'1. Landuse'!$C$20)/1000000-O72</f>
        <v>2.8812056737588652</v>
      </c>
      <c r="P83" s="314">
        <f>(((P50-P61)*'3. Site Based'!$I$7)*'1. Landuse'!$C$20)/1000000-P72</f>
        <v>2.8812056737588652</v>
      </c>
      <c r="Q83" s="314">
        <f>(((Q50-Q61)*'3. Site Based'!$I$7)*'1. Landuse'!$C$20)/1000000-Q72</f>
        <v>2.8812056737588652</v>
      </c>
      <c r="R83" s="314">
        <f>(((R50-R61)*'3. Site Based'!$I$7)*'1. Landuse'!$C$20)/1000000-R72</f>
        <v>2.8812056737588652</v>
      </c>
      <c r="S83" s="314">
        <f>(((S50-S61)*'3. Site Based'!$I$7)*'1. Landuse'!$C$20)/1000000-S72</f>
        <v>2.8812056737588652</v>
      </c>
      <c r="T83" s="314">
        <f>(((T50-T61)*'3. Site Based'!$I$7)*'1. Landuse'!$C$20)/1000000-T72</f>
        <v>2.8812056737588652</v>
      </c>
      <c r="U83" s="314">
        <f>(((U50-U61)*'3. Site Based'!$I$7)*'1. Landuse'!$C$20)/1000000-U72</f>
        <v>2.8812056737588652</v>
      </c>
      <c r="V83" s="314">
        <f>(((V50-V61)*'3. Site Based'!$I$7)*'1. Landuse'!$C$20)/1000000-V72</f>
        <v>2.8812056737588652</v>
      </c>
      <c r="W83" s="314">
        <f>(((W50-W61)*'3. Site Based'!$I$7)*'1. Landuse'!$C$20)/1000000-W72</f>
        <v>2.8812056737588652</v>
      </c>
      <c r="X83" s="314">
        <f>(((X50-X61)*'3. Site Based'!$I$7)*'1. Landuse'!$C$20)/1000000-X72</f>
        <v>2.8812056737588652</v>
      </c>
      <c r="Y83" s="314">
        <f>(((Y50-Y61)*'3. Site Based'!$I$7)*'1. Landuse'!$C$20)/1000000-Y72</f>
        <v>2.8812056737588652</v>
      </c>
      <c r="Z83" s="314">
        <f>(((Z50-Z61)*'3. Site Based'!$I$7)*'1. Landuse'!$C$20)/1000000-Z72</f>
        <v>2.8812056737588652</v>
      </c>
      <c r="AA83" s="314">
        <f>(((AA50-AA61)*'3. Site Based'!$I$7)*'1. Landuse'!$C$20)/1000000-AA72</f>
        <v>2.8812056737588652</v>
      </c>
      <c r="AB83" s="314">
        <f>(((AB50-AB61)*'3. Site Based'!$I$7)*'1. Landuse'!$C$20)/1000000-AB72</f>
        <v>2.8812056737588652</v>
      </c>
      <c r="AC83" s="314">
        <f>(((AC50-AC61)*'3. Site Based'!$I$7)*'1. Landuse'!$C$20)/1000000-AC72</f>
        <v>2.8812056737588652</v>
      </c>
      <c r="AD83" s="314">
        <f>(((AD50-AD61)*'3. Site Based'!$I$7)*'1. Landuse'!$C$20)/1000000-AD72</f>
        <v>2.8812056737588652</v>
      </c>
      <c r="AE83" s="314">
        <f>(((AE50-AE61)*'3. Site Based'!$I$7)*'1. Landuse'!$C$20)/1000000-AE72</f>
        <v>2.8812056737588652</v>
      </c>
      <c r="AF83" s="314">
        <f>(((AF50-AF61)*'3. Site Based'!$I$7)*'1. Landuse'!$C$20)/1000000-AF72</f>
        <v>2.8812056737588652</v>
      </c>
      <c r="AG83" s="314">
        <f>(((AG50-AG61)*'3. Site Based'!$I$7)*'1. Landuse'!$C$20)/1000000-AG72</f>
        <v>2.8812056737588652</v>
      </c>
      <c r="AH83" s="314">
        <f>(((AH50-AH61)*'3. Site Based'!$I$7)*'1. Landuse'!$C$20)/1000000-AH72</f>
        <v>2.8812056737588652</v>
      </c>
      <c r="AI83" s="314">
        <f>(((AI50-AI61)*'3. Site Based'!$I$7)*'1. Landuse'!$C$20)/1000000-AI72</f>
        <v>2.8812056737588652</v>
      </c>
      <c r="AJ83" s="314">
        <f>(((AJ50-AJ61)*'3. Site Based'!$I$7)*'1. Landuse'!$C$20)/1000000-AJ72</f>
        <v>2.8812056737588652</v>
      </c>
      <c r="AK83" s="314">
        <f>(((AK50-AK61)*'3. Site Based'!$I$7)*'1. Landuse'!$C$20)/1000000-AK72</f>
        <v>2.8812056737588652</v>
      </c>
      <c r="AL83" s="314">
        <f>(((AL50-AL61)*'3. Site Based'!$I$7)*'1. Landuse'!$C$20)/1000000-AL72</f>
        <v>2.8812056737588652</v>
      </c>
      <c r="AM83" s="314">
        <f>(((AM50-AM61)*'3. Site Based'!$I$7)*'1. Landuse'!$C$20)/1000000-AM72</f>
        <v>2.8812056737588652</v>
      </c>
      <c r="AN83" s="314">
        <f>(((AN50-AN61)*'3. Site Based'!$I$7)*'1. Landuse'!$C$20)/1000000-AN72</f>
        <v>2.8812056737588652</v>
      </c>
      <c r="AO83" s="314">
        <f>(((AO50-AO61)*'3. Site Based'!$I$7)*'1. Landuse'!$C$20)/1000000-AO72</f>
        <v>2.8812056737588652</v>
      </c>
      <c r="AP83" s="314">
        <f>(((AP50-AP61)*'3. Site Based'!$I$7)*'1. Landuse'!$C$20)/1000000-AP72</f>
        <v>2.8812056737588652</v>
      </c>
      <c r="AQ83" s="314">
        <f>(((AQ50-AQ61)*'3. Site Based'!$I$7)*'1. Landuse'!$C$20)/1000000-AQ72</f>
        <v>2.8812056737588652</v>
      </c>
      <c r="AR83" s="314">
        <f>(((AR50-AR61)*'3. Site Based'!$I$7)*'1. Landuse'!$C$20)/1000000-AR72</f>
        <v>2.8812056737588652</v>
      </c>
      <c r="AS83" s="314">
        <f>(((AS50-AS61)*'3. Site Based'!$I$7)*'1. Landuse'!$C$20)/1000000-AS72</f>
        <v>2.8812056737588652</v>
      </c>
      <c r="AT83" s="314">
        <f>(((AT50-AT61)*'3. Site Based'!$I$7)*'1. Landuse'!$C$20)/1000000-AT72</f>
        <v>2.8812056737588652</v>
      </c>
      <c r="AU83" s="314">
        <f>(((AU50-AU61)*'3. Site Based'!$I$7)*'1. Landuse'!$C$20)/1000000-AU72</f>
        <v>2.8812056737588652</v>
      </c>
      <c r="AV83" s="314">
        <f>(((AV50-AV61)*'3. Site Based'!$I$7)*'1. Landuse'!$C$20)/1000000-AV72</f>
        <v>2.8812056737588652</v>
      </c>
      <c r="AW83" s="314">
        <f>(((AW50-AW61)*'3. Site Based'!$I$7)*'1. Landuse'!$C$20)/1000000-AW72</f>
        <v>2.8812056737588652</v>
      </c>
      <c r="AX83" s="314">
        <f>(((AX50-AX61)*'3. Site Based'!$I$7)*'1. Landuse'!$C$20)/1000000-AX72</f>
        <v>2.8812056737588652</v>
      </c>
      <c r="AY83" s="314">
        <f>(((AY50-AY61)*'3. Site Based'!$I$7)*'1. Landuse'!$C$20)/1000000-AY72</f>
        <v>2.8812056737588652</v>
      </c>
      <c r="AZ83" s="314">
        <f>(((AZ50-AZ61)*'3. Site Based'!$I$7)*'1. Landuse'!$C$20)/1000000-AZ72</f>
        <v>2.8812056737588652</v>
      </c>
      <c r="BA83" s="314">
        <f>(((BA50-BA61)*'3. Site Based'!$I$7)*'1. Landuse'!$C$20)/1000000-BA72</f>
        <v>2.8812056737588652</v>
      </c>
      <c r="BB83" s="314">
        <f>(((BB50-BB61)*'3. Site Based'!$I$7)*'1. Landuse'!$C$20)/1000000-BB72</f>
        <v>2.8812056737588652</v>
      </c>
      <c r="BC83" s="314">
        <f>(((BC50-BC61)*'3. Site Based'!$I$7)*'1. Landuse'!$C$20)/1000000-BC72</f>
        <v>2.8812056737588652</v>
      </c>
      <c r="BD83" s="314">
        <f>(((BD50-BD61)*'3. Site Based'!$I$7)*'1. Landuse'!$C$20)/1000000-BD72</f>
        <v>2.8812056737588652</v>
      </c>
      <c r="BE83" s="314">
        <f>(((BE50-BE61)*'3. Site Based'!$I$7)*'1. Landuse'!$C$20)/1000000-BE72</f>
        <v>2.8812056737588652</v>
      </c>
      <c r="BF83" s="314">
        <f>(((BF50-BF61)*'3. Site Based'!$I$7)*'1. Landuse'!$C$20)/1000000-BF72</f>
        <v>2.8812056737588652</v>
      </c>
      <c r="BG83" s="314">
        <f>(((BG50-BG61)*'3. Site Based'!$I$7)*'1. Landuse'!$C$20)/1000000-BG72</f>
        <v>2.8812056737588652</v>
      </c>
      <c r="BH83" s="314">
        <f>(((BH50-BH61)*'3. Site Based'!$I$7)*'1. Landuse'!$C$20)/1000000-BH72</f>
        <v>2.8812056737588652</v>
      </c>
      <c r="BI83" s="314">
        <f>(((BI50-BI61)*'3. Site Based'!$I$7)*'1. Landuse'!$C$20)/1000000-BI72</f>
        <v>2.8812056737588652</v>
      </c>
      <c r="BJ83" s="314">
        <f>(((BJ50-BJ61)*'3. Site Based'!$I$7)*'1. Landuse'!$C$20)/1000000-BJ72</f>
        <v>2.8812056737588652</v>
      </c>
      <c r="BK83" s="314">
        <f>(((BK50-BK61)*'3. Site Based'!$I$7)*'1. Landuse'!$C$20)/1000000-BK72</f>
        <v>2.8812056737588652</v>
      </c>
      <c r="BL83" s="314">
        <f>(((BL50-BL61)*'3. Site Based'!$I$7)*'1. Landuse'!$C$20)/1000000-BL72</f>
        <v>2.8812056737588652</v>
      </c>
      <c r="BM83" s="314">
        <f>(((BM50-BM61)*'3. Site Based'!$I$7)*'1. Landuse'!$C$20)/1000000-BM72</f>
        <v>2.8812056737588652</v>
      </c>
      <c r="BN83" s="314">
        <f>(((BN50-BN61)*'3. Site Based'!$I$7)*'1. Landuse'!$C$20)/1000000-BN72</f>
        <v>2.8812056737588652</v>
      </c>
      <c r="BO83" s="314">
        <f>(((BO50-BO61)*'3. Site Based'!$I$7)*'1. Landuse'!$C$20)/1000000-BO72</f>
        <v>2.8812056737588652</v>
      </c>
      <c r="BP83" s="314">
        <f>(((BP50-BP61)*'3. Site Based'!$I$7)*'1. Landuse'!$C$20)/1000000-BP72</f>
        <v>2.8812056737588652</v>
      </c>
      <c r="BQ83" s="314">
        <f>(((BQ50-BQ61)*'3. Site Based'!$I$7)*'1. Landuse'!$C$20)/1000000-BQ72</f>
        <v>2.8812056737588652</v>
      </c>
      <c r="BR83" s="314">
        <f>(((BR50-BR61)*'3. Site Based'!$I$7)*'1. Landuse'!$C$20)/1000000-BR72</f>
        <v>2.8812056737588652</v>
      </c>
      <c r="BS83" s="314">
        <f>(((BS50-BS61)*'3. Site Based'!$I$7)*'1. Landuse'!$C$20)/1000000-BS72</f>
        <v>2.8812056737588652</v>
      </c>
      <c r="BT83" s="314">
        <f>(((BT50-BT61)*'3. Site Based'!$I$7)*'1. Landuse'!$C$20)/1000000-BT72</f>
        <v>2.8812056737588652</v>
      </c>
      <c r="BU83" s="314">
        <f>(((BU50-BU61)*'3. Site Based'!$I$7)*'1. Landuse'!$C$20)/1000000-BU72</f>
        <v>2.8812056737588652</v>
      </c>
      <c r="BV83" s="314">
        <f>(((BV50-BV61)*'3. Site Based'!$I$7)*'1. Landuse'!$C$20)/1000000-BV72</f>
        <v>2.8812056737588652</v>
      </c>
      <c r="BW83" s="314">
        <f>(((BW50-BW61)*'3. Site Based'!$I$7)*'1. Landuse'!$C$20)/1000000-BW72</f>
        <v>2.8812056737588652</v>
      </c>
      <c r="BX83" s="314">
        <f>(((BX50-BX61)*'3. Site Based'!$I$7)*'1. Landuse'!$C$20)/1000000-BX72</f>
        <v>2.8812056737588652</v>
      </c>
      <c r="BY83" s="314">
        <f>(((BY50-BY61)*'3. Site Based'!$I$7)*'1. Landuse'!$C$20)/1000000-BY72</f>
        <v>2.8812056737588652</v>
      </c>
      <c r="BZ83" s="314">
        <f>(((BZ50-BZ61)*'3. Site Based'!$I$7)*'1. Landuse'!$C$20)/1000000-BZ72</f>
        <v>2.8812056737588652</v>
      </c>
      <c r="CA83" s="314">
        <f>(((CA50-CA61)*'3. Site Based'!$I$7)*'1. Landuse'!$C$20)/1000000-CA72</f>
        <v>2.8812056737588652</v>
      </c>
      <c r="CB83" s="314">
        <f>(((CB50-CB61)*'3. Site Based'!$I$7)*'1. Landuse'!$C$20)/1000000-CB72</f>
        <v>2.8812056737588652</v>
      </c>
      <c r="CC83" s="314">
        <f>(((CC50-CC61)*'3. Site Based'!$I$7)*'1. Landuse'!$C$20)/1000000-CC72</f>
        <v>2.8812056737588652</v>
      </c>
      <c r="CD83" s="314">
        <f>(((CD50-CD61)*'3. Site Based'!$I$7)*'1. Landuse'!$C$20)/1000000-CD72</f>
        <v>2.8812056737588652</v>
      </c>
      <c r="CE83" s="314">
        <f>(((CE50-CE61)*'3. Site Based'!$I$7)*'1. Landuse'!$C$20)/1000000-CE72</f>
        <v>2.8812056737588652</v>
      </c>
      <c r="CF83" s="314">
        <f>(((CF50-CF61)*'3. Site Based'!$I$7)*'1. Landuse'!$C$20)/1000000-CF72</f>
        <v>2.8812056737588652</v>
      </c>
      <c r="CG83" s="314">
        <f>(((CG50-CG61)*'3. Site Based'!$I$7)*'1. Landuse'!$C$20)/1000000-CG72</f>
        <v>2.8812056737588652</v>
      </c>
      <c r="CH83" s="314">
        <f>(((CH50-CH61)*'3. Site Based'!$I$7)*'1. Landuse'!$C$20)/1000000-CH72</f>
        <v>2.8812056737588652</v>
      </c>
      <c r="CI83" s="314">
        <f>(((CI50-CI61)*'3. Site Based'!$I$7)*'1. Landuse'!$C$20)/1000000-CI72</f>
        <v>2.8812056737588652</v>
      </c>
      <c r="CJ83"/>
      <c r="CK83"/>
    </row>
    <row r="84" spans="2:89">
      <c r="B84" s="44" t="s">
        <v>177</v>
      </c>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c r="AL84" s="314"/>
      <c r="AM84" s="314"/>
      <c r="AN84" s="314"/>
      <c r="AO84" s="314"/>
      <c r="AP84" s="314"/>
      <c r="AQ84" s="314"/>
      <c r="AR84" s="314"/>
      <c r="AS84" s="314"/>
      <c r="AT84" s="314"/>
      <c r="AU84" s="314"/>
      <c r="AV84" s="314"/>
      <c r="AW84" s="314"/>
      <c r="AX84" s="314"/>
      <c r="AY84" s="314"/>
      <c r="AZ84" s="314"/>
      <c r="BA84" s="314"/>
      <c r="BB84" s="314"/>
      <c r="BC84" s="314"/>
      <c r="BD84" s="314"/>
      <c r="BE84" s="314"/>
      <c r="BF84" s="314"/>
      <c r="BG84" s="314"/>
      <c r="BH84" s="314"/>
      <c r="BI84" s="314"/>
      <c r="BJ84" s="314"/>
      <c r="BK84" s="314"/>
      <c r="BL84" s="314"/>
      <c r="BM84" s="314"/>
      <c r="BN84" s="314"/>
      <c r="BO84" s="314"/>
      <c r="BP84" s="314"/>
      <c r="BQ84" s="314"/>
      <c r="BR84" s="314"/>
      <c r="BS84" s="314"/>
      <c r="BT84" s="314"/>
      <c r="BU84" s="314"/>
      <c r="BV84" s="314"/>
      <c r="BW84" s="314"/>
      <c r="BX84" s="314"/>
      <c r="BY84" s="314"/>
      <c r="BZ84" s="314"/>
      <c r="CA84" s="314"/>
      <c r="CB84" s="314"/>
      <c r="CC84" s="314"/>
      <c r="CD84" s="314"/>
      <c r="CE84" s="314"/>
      <c r="CF84" s="314"/>
      <c r="CG84" s="314"/>
      <c r="CH84" s="314"/>
      <c r="CI84" s="314"/>
      <c r="CJ84"/>
      <c r="CK84"/>
    </row>
    <row r="85" spans="2:89">
      <c r="B85" s="98" t="s">
        <v>50</v>
      </c>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c r="AZ85" s="314"/>
      <c r="BA85" s="314"/>
      <c r="BB85" s="314"/>
      <c r="BC85" s="314"/>
      <c r="BD85" s="314"/>
      <c r="BE85" s="314"/>
      <c r="BF85" s="314"/>
      <c r="BG85" s="314"/>
      <c r="BH85" s="314"/>
      <c r="BI85" s="314"/>
      <c r="BJ85" s="314"/>
      <c r="BK85" s="314"/>
      <c r="BL85" s="314"/>
      <c r="BM85" s="314"/>
      <c r="BN85" s="314"/>
      <c r="BO85" s="314"/>
      <c r="BP85" s="314"/>
      <c r="BQ85" s="314"/>
      <c r="BR85" s="314"/>
      <c r="BS85" s="314"/>
      <c r="BT85" s="314"/>
      <c r="BU85" s="314"/>
      <c r="BV85" s="314"/>
      <c r="BW85" s="314"/>
      <c r="BX85" s="314"/>
      <c r="BY85" s="314"/>
      <c r="BZ85" s="314"/>
      <c r="CA85" s="314"/>
      <c r="CB85" s="314"/>
      <c r="CC85" s="314"/>
      <c r="CD85" s="314"/>
      <c r="CE85" s="314"/>
      <c r="CF85" s="314"/>
      <c r="CG85" s="314"/>
      <c r="CH85" s="314"/>
      <c r="CI85" s="314"/>
      <c r="CJ85"/>
      <c r="CK85"/>
    </row>
    <row r="86" spans="2:89">
      <c r="B86" s="44" t="s">
        <v>237</v>
      </c>
      <c r="D86" s="314">
        <f>((10000*('1. Landuse'!$I$19*'1. Landuse'!$J$19))*(D53-D64))/1000000-D75</f>
        <v>0.42801556420233466</v>
      </c>
      <c r="E86" s="314">
        <f>((10000*('1. Landuse'!$I$19*'1. Landuse'!$J$19))*(E53-E64))/1000000-E75</f>
        <v>0.42801556420233466</v>
      </c>
      <c r="F86" s="314">
        <f>((10000*('1. Landuse'!$I$19*'1. Landuse'!$J$19))*(F53-F64))/1000000-F75</f>
        <v>0.42801556420233466</v>
      </c>
      <c r="G86" s="314">
        <f>((10000*('1. Landuse'!$I$19*'1. Landuse'!$J$19))*(G53-G64))/1000000-G75</f>
        <v>0.42801556420233466</v>
      </c>
      <c r="H86" s="314">
        <f>((10000*('1. Landuse'!$I$19*'1. Landuse'!$J$19))*(H53-H64))/1000000-H75</f>
        <v>0.42801556420233466</v>
      </c>
      <c r="I86" s="314">
        <f>((10000*('1. Landuse'!$I$19*'1. Landuse'!$J$19))*(I53-I64))/1000000-I75</f>
        <v>0.42801556420233466</v>
      </c>
      <c r="J86" s="314">
        <f>((10000*('1. Landuse'!$I$19*'1. Landuse'!$J$19))*(J53-J64))/1000000-J75</f>
        <v>0.42801556420233466</v>
      </c>
      <c r="K86" s="314">
        <f>((10000*('1. Landuse'!$I$19*'1. Landuse'!$J$19))*(K53-K64))/1000000-K75</f>
        <v>0.42801556420233466</v>
      </c>
      <c r="L86" s="314">
        <f>((10000*('1. Landuse'!$I$19*'1. Landuse'!$J$19))*(L53-L64))/1000000-L75</f>
        <v>0.42801556420233466</v>
      </c>
      <c r="M86" s="314">
        <f>((10000*('1. Landuse'!$I$19*'1. Landuse'!$J$19))*(M53-M64))/1000000-M75</f>
        <v>0.42801556420233466</v>
      </c>
      <c r="N86" s="314">
        <f>((10000*('1. Landuse'!$I$19*'1. Landuse'!$J$19))*(N53-N64))/1000000-N75</f>
        <v>0.42801556420233466</v>
      </c>
      <c r="O86" s="314">
        <f>((10000*('1. Landuse'!$I$19*'1. Landuse'!$J$19))*(O53-O64))/1000000-O75</f>
        <v>0.42801556420233466</v>
      </c>
      <c r="P86" s="314">
        <f>((10000*('1. Landuse'!$I$19*'1. Landuse'!$J$19))*(P53-P64))/1000000-P75</f>
        <v>0.42801556420233466</v>
      </c>
      <c r="Q86" s="314">
        <f>((10000*('1. Landuse'!$I$19*'1. Landuse'!$J$19))*(Q53-Q64))/1000000-Q75</f>
        <v>0.42801556420233466</v>
      </c>
      <c r="R86" s="314">
        <f>((10000*('1. Landuse'!$I$19*'1. Landuse'!$J$19))*(R53-R64))/1000000-R75</f>
        <v>0.42801556420233466</v>
      </c>
      <c r="S86" s="314">
        <f>((10000*('1. Landuse'!$I$19*'1. Landuse'!$J$19))*(S53-S64))/1000000-S75</f>
        <v>0.42801556420233466</v>
      </c>
      <c r="T86" s="314">
        <f>((10000*('1. Landuse'!$I$19*'1. Landuse'!$J$19))*(T53-T64))/1000000-T75</f>
        <v>0.42801556420233466</v>
      </c>
      <c r="U86" s="314">
        <f>((10000*('1. Landuse'!$I$19*'1. Landuse'!$J$19))*(U53-U64))/1000000-U75</f>
        <v>0.42801556420233466</v>
      </c>
      <c r="V86" s="314">
        <f>((10000*('1. Landuse'!$I$19*'1. Landuse'!$J$19))*(V53-V64))/1000000-V75</f>
        <v>0.42801556420233466</v>
      </c>
      <c r="W86" s="314">
        <f>((10000*('1. Landuse'!$I$19*'1. Landuse'!$J$19))*(W53-W64))/1000000-W75</f>
        <v>0.42801556420233466</v>
      </c>
      <c r="X86" s="314">
        <f>((10000*('1. Landuse'!$I$19*'1. Landuse'!$J$19))*(X53-X64))/1000000-X75</f>
        <v>0.42801556420233466</v>
      </c>
      <c r="Y86" s="314">
        <f>((10000*('1. Landuse'!$I$19*'1. Landuse'!$J$19))*(Y53-Y64))/1000000-Y75</f>
        <v>0.42801556420233466</v>
      </c>
      <c r="Z86" s="314">
        <f>((10000*('1. Landuse'!$I$19*'1. Landuse'!$J$19))*(Z53-Z64))/1000000-Z75</f>
        <v>0.42801556420233466</v>
      </c>
      <c r="AA86" s="314">
        <f>((10000*('1. Landuse'!$I$19*'1. Landuse'!$J$19))*(AA53-AA64))/1000000-AA75</f>
        <v>0.42801556420233466</v>
      </c>
      <c r="AB86" s="314">
        <f>((10000*('1. Landuse'!$I$19*'1. Landuse'!$J$19))*(AB53-AB64))/1000000-AB75</f>
        <v>0.42801556420233466</v>
      </c>
      <c r="AC86" s="314">
        <f>((10000*('1. Landuse'!$I$19*'1. Landuse'!$J$19))*(AC53-AC64))/1000000-AC75</f>
        <v>0.42801556420233466</v>
      </c>
      <c r="AD86" s="314">
        <f>((10000*('1. Landuse'!$I$19*'1. Landuse'!$J$19))*(AD53-AD64))/1000000-AD75</f>
        <v>0.42801556420233466</v>
      </c>
      <c r="AE86" s="314">
        <f>((10000*('1. Landuse'!$I$19*'1. Landuse'!$J$19))*(AE53-AE64))/1000000-AE75</f>
        <v>0.42801556420233466</v>
      </c>
      <c r="AF86" s="314">
        <f>((10000*('1. Landuse'!$I$19*'1. Landuse'!$J$19))*(AF53-AF64))/1000000-AF75</f>
        <v>0.42801556420233466</v>
      </c>
      <c r="AG86" s="314">
        <f>((10000*('1. Landuse'!$I$19*'1. Landuse'!$J$19))*(AG53-AG64))/1000000-AG75</f>
        <v>0.42801556420233466</v>
      </c>
      <c r="AH86" s="314">
        <f>((10000*('1. Landuse'!$I$19*'1. Landuse'!$J$19))*(AH53-AH64))/1000000-AH75</f>
        <v>0.42801556420233466</v>
      </c>
      <c r="AI86" s="314">
        <f>((10000*('1. Landuse'!$I$19*'1. Landuse'!$J$19))*(AI53-AI64))/1000000-AI75</f>
        <v>0.42801556420233466</v>
      </c>
      <c r="AJ86" s="314">
        <f>((10000*('1. Landuse'!$I$19*'1. Landuse'!$J$19))*(AJ53-AJ64))/1000000-AJ75</f>
        <v>0.42801556420233466</v>
      </c>
      <c r="AK86" s="314">
        <f>((10000*('1. Landuse'!$I$19*'1. Landuse'!$J$19))*(AK53-AK64))/1000000-AK75</f>
        <v>0.42801556420233466</v>
      </c>
      <c r="AL86" s="314">
        <f>((10000*('1. Landuse'!$I$19*'1. Landuse'!$J$19))*(AL53-AL64))/1000000-AL75</f>
        <v>0.42801556420233466</v>
      </c>
      <c r="AM86" s="314">
        <f>((10000*('1. Landuse'!$I$19*'1. Landuse'!$J$19))*(AM53-AM64))/1000000-AM75</f>
        <v>0.42801556420233466</v>
      </c>
      <c r="AN86" s="314">
        <f>((10000*('1. Landuse'!$I$19*'1. Landuse'!$J$19))*(AN53-AN64))/1000000-AN75</f>
        <v>0.42801556420233466</v>
      </c>
      <c r="AO86" s="314">
        <f>((10000*('1. Landuse'!$I$19*'1. Landuse'!$J$19))*(AO53-AO64))/1000000-AO75</f>
        <v>0.42801556420233466</v>
      </c>
      <c r="AP86" s="314">
        <f>((10000*('1. Landuse'!$I$19*'1. Landuse'!$J$19))*(AP53-AP64))/1000000-AP75</f>
        <v>0.42801556420233466</v>
      </c>
      <c r="AQ86" s="314">
        <f>((10000*('1. Landuse'!$I$19*'1. Landuse'!$J$19))*(AQ53-AQ64))/1000000-AQ75</f>
        <v>0.42801556420233466</v>
      </c>
      <c r="AR86" s="314">
        <f>((10000*('1. Landuse'!$I$19*'1. Landuse'!$J$19))*(AR53-AR64))/1000000-AR75</f>
        <v>0.42801556420233466</v>
      </c>
      <c r="AS86" s="314">
        <f>((10000*('1. Landuse'!$I$19*'1. Landuse'!$J$19))*(AS53-AS64))/1000000-AS75</f>
        <v>0.42801556420233466</v>
      </c>
      <c r="AT86" s="314">
        <f>((10000*('1. Landuse'!$I$19*'1. Landuse'!$J$19))*(AT53-AT64))/1000000-AT75</f>
        <v>0.42801556420233466</v>
      </c>
      <c r="AU86" s="314">
        <f>((10000*('1. Landuse'!$I$19*'1. Landuse'!$J$19))*(AU53-AU64))/1000000-AU75</f>
        <v>0.42801556420233466</v>
      </c>
      <c r="AV86" s="314">
        <f>((10000*('1. Landuse'!$I$19*'1. Landuse'!$J$19))*(AV53-AV64))/1000000-AV75</f>
        <v>0.42801556420233466</v>
      </c>
      <c r="AW86" s="314">
        <f>((10000*('1. Landuse'!$I$19*'1. Landuse'!$J$19))*(AW53-AW64))/1000000-AW75</f>
        <v>0.42801556420233466</v>
      </c>
      <c r="AX86" s="314">
        <f>((10000*('1. Landuse'!$I$19*'1. Landuse'!$J$19))*(AX53-AX64))/1000000-AX75</f>
        <v>0.42801556420233466</v>
      </c>
      <c r="AY86" s="314">
        <f>((10000*('1. Landuse'!$I$19*'1. Landuse'!$J$19))*(AY53-AY64))/1000000-AY75</f>
        <v>0.42801556420233466</v>
      </c>
      <c r="AZ86" s="314">
        <f>((10000*('1. Landuse'!$I$19*'1. Landuse'!$J$19))*(AZ53-AZ64))/1000000-AZ75</f>
        <v>0.42801556420233466</v>
      </c>
      <c r="BA86" s="314">
        <f>((10000*('1. Landuse'!$I$19*'1. Landuse'!$J$19))*(BA53-BA64))/1000000-BA75</f>
        <v>0.42801556420233466</v>
      </c>
      <c r="BB86" s="314">
        <f>((10000*('1. Landuse'!$I$19*'1. Landuse'!$J$19))*(BB53-BB64))/1000000-BB75</f>
        <v>0.42801556420233466</v>
      </c>
      <c r="BC86" s="314">
        <f>((10000*('1. Landuse'!$I$19*'1. Landuse'!$J$19))*(BC53-BC64))/1000000-BC75</f>
        <v>0.42801556420233466</v>
      </c>
      <c r="BD86" s="314">
        <f>((10000*('1. Landuse'!$I$19*'1. Landuse'!$J$19))*(BD53-BD64))/1000000-BD75</f>
        <v>0.42801556420233466</v>
      </c>
      <c r="BE86" s="314">
        <f>((10000*('1. Landuse'!$I$19*'1. Landuse'!$J$19))*(BE53-BE64))/1000000-BE75</f>
        <v>0.42801556420233466</v>
      </c>
      <c r="BF86" s="314">
        <f>((10000*('1. Landuse'!$I$19*'1. Landuse'!$J$19))*(BF53-BF64))/1000000-BF75</f>
        <v>0.42801556420233466</v>
      </c>
      <c r="BG86" s="314">
        <f>((10000*('1. Landuse'!$I$19*'1. Landuse'!$J$19))*(BG53-BG64))/1000000-BG75</f>
        <v>0.42801556420233466</v>
      </c>
      <c r="BH86" s="314">
        <f>((10000*('1. Landuse'!$I$19*'1. Landuse'!$J$19))*(BH53-BH64))/1000000-BH75</f>
        <v>0.42801556420233466</v>
      </c>
      <c r="BI86" s="314">
        <f>((10000*('1. Landuse'!$I$19*'1. Landuse'!$J$19))*(BI53-BI64))/1000000-BI75</f>
        <v>0.42801556420233466</v>
      </c>
      <c r="BJ86" s="314">
        <f>((10000*('1. Landuse'!$I$19*'1. Landuse'!$J$19))*(BJ53-BJ64))/1000000-BJ75</f>
        <v>0.42801556420233466</v>
      </c>
      <c r="BK86" s="314">
        <f>((10000*('1. Landuse'!$I$19*'1. Landuse'!$J$19))*(BK53-BK64))/1000000-BK75</f>
        <v>0.42801556420233466</v>
      </c>
      <c r="BL86" s="314">
        <f>((10000*('1. Landuse'!$I$19*'1. Landuse'!$J$19))*(BL53-BL64))/1000000-BL75</f>
        <v>0.42801556420233466</v>
      </c>
      <c r="BM86" s="314">
        <f>((10000*('1. Landuse'!$I$19*'1. Landuse'!$J$19))*(BM53-BM64))/1000000-BM75</f>
        <v>0.42801556420233466</v>
      </c>
      <c r="BN86" s="314">
        <f>((10000*('1. Landuse'!$I$19*'1. Landuse'!$J$19))*(BN53-BN64))/1000000-BN75</f>
        <v>0.42801556420233466</v>
      </c>
      <c r="BO86" s="314">
        <f>((10000*('1. Landuse'!$I$19*'1. Landuse'!$J$19))*(BO53-BO64))/1000000-BO75</f>
        <v>0.42801556420233466</v>
      </c>
      <c r="BP86" s="314">
        <f>((10000*('1. Landuse'!$I$19*'1. Landuse'!$J$19))*(BP53-BP64))/1000000-BP75</f>
        <v>0.42801556420233466</v>
      </c>
      <c r="BQ86" s="314">
        <f>((10000*('1. Landuse'!$I$19*'1. Landuse'!$J$19))*(BQ53-BQ64))/1000000-BQ75</f>
        <v>0.42801556420233466</v>
      </c>
      <c r="BR86" s="314">
        <f>((10000*('1. Landuse'!$I$19*'1. Landuse'!$J$19))*(BR53-BR64))/1000000-BR75</f>
        <v>0.42801556420233466</v>
      </c>
      <c r="BS86" s="314">
        <f>((10000*('1. Landuse'!$I$19*'1. Landuse'!$J$19))*(BS53-BS64))/1000000-BS75</f>
        <v>0.42801556420233466</v>
      </c>
      <c r="BT86" s="314">
        <f>((10000*('1. Landuse'!$I$19*'1. Landuse'!$J$19))*(BT53-BT64))/1000000-BT75</f>
        <v>0.42801556420233466</v>
      </c>
      <c r="BU86" s="314">
        <f>((10000*('1. Landuse'!$I$19*'1. Landuse'!$J$19))*(BU53-BU64))/1000000-BU75</f>
        <v>0.42801556420233466</v>
      </c>
      <c r="BV86" s="314">
        <f>((10000*('1. Landuse'!$I$19*'1. Landuse'!$J$19))*(BV53-BV64))/1000000-BV75</f>
        <v>0.42801556420233466</v>
      </c>
      <c r="BW86" s="314">
        <f>((10000*('1. Landuse'!$I$19*'1. Landuse'!$J$19))*(BW53-BW64))/1000000-BW75</f>
        <v>0.42801556420233466</v>
      </c>
      <c r="BX86" s="314">
        <f>((10000*('1. Landuse'!$I$19*'1. Landuse'!$J$19))*(BX53-BX64))/1000000-BX75</f>
        <v>0.42801556420233466</v>
      </c>
      <c r="BY86" s="314">
        <f>((10000*('1. Landuse'!$I$19*'1. Landuse'!$J$19))*(BY53-BY64))/1000000-BY75</f>
        <v>0.42801556420233466</v>
      </c>
      <c r="BZ86" s="314">
        <f>((10000*('1. Landuse'!$I$19*'1. Landuse'!$J$19))*(BZ53-BZ64))/1000000-BZ75</f>
        <v>0.42801556420233466</v>
      </c>
      <c r="CA86" s="314">
        <f>((10000*('1. Landuse'!$I$19*'1. Landuse'!$J$19))*(CA53-CA64))/1000000-CA75</f>
        <v>0.42801556420233466</v>
      </c>
      <c r="CB86" s="314">
        <f>((10000*('1. Landuse'!$I$19*'1. Landuse'!$J$19))*(CB53-CB64))/1000000-CB75</f>
        <v>0.42801556420233466</v>
      </c>
      <c r="CC86" s="314">
        <f>((10000*('1. Landuse'!$I$19*'1. Landuse'!$J$19))*(CC53-CC64))/1000000-CC75</f>
        <v>0.42801556420233466</v>
      </c>
      <c r="CD86" s="314">
        <f>((10000*('1. Landuse'!$I$19*'1. Landuse'!$J$19))*(CD53-CD64))/1000000-CD75</f>
        <v>0.42801556420233466</v>
      </c>
      <c r="CE86" s="314">
        <f>((10000*('1. Landuse'!$I$19*'1. Landuse'!$J$19))*(CE53-CE64))/1000000-CE75</f>
        <v>0.42801556420233466</v>
      </c>
      <c r="CF86" s="314">
        <f>((10000*('1. Landuse'!$I$19*'1. Landuse'!$J$19))*(CF53-CF64))/1000000-CF75</f>
        <v>0.42801556420233466</v>
      </c>
      <c r="CG86" s="314">
        <f>((10000*('1. Landuse'!$I$19*'1. Landuse'!$J$19))*(CG53-CG64))/1000000-CG75</f>
        <v>0.42801556420233466</v>
      </c>
      <c r="CH86" s="314">
        <f>((10000*('1. Landuse'!$I$19*'1. Landuse'!$J$19))*(CH53-CH64))/1000000-CH75</f>
        <v>0.42801556420233466</v>
      </c>
      <c r="CI86" s="314">
        <f>((10000*('1. Landuse'!$I$19*'1. Landuse'!$J$19))*(CI53-CI64))/1000000-CI75</f>
        <v>0.42801556420233466</v>
      </c>
      <c r="CJ86"/>
      <c r="CK86"/>
    </row>
    <row r="87" spans="2:89">
      <c r="B87" s="44" t="s">
        <v>516</v>
      </c>
      <c r="D87" s="314">
        <f>((10000*('1. Landuse'!$I$20*'1. Landuse'!$J$20))*(D54-D65))/1000000-D76</f>
        <v>3.9698492462311559</v>
      </c>
      <c r="E87" s="314">
        <f>((10000*('1. Landuse'!$I$20*'1. Landuse'!$J$20))*(E54-E65))/1000000-E76</f>
        <v>3.9698492462311559</v>
      </c>
      <c r="F87" s="314">
        <f>((10000*('1. Landuse'!$I$20*'1. Landuse'!$J$20))*(F54-F65))/1000000-F76</f>
        <v>3.9698492462311559</v>
      </c>
      <c r="G87" s="314">
        <f>((10000*('1. Landuse'!$I$20*'1. Landuse'!$J$20))*(G54-G65))/1000000-G76</f>
        <v>3.9698492462311559</v>
      </c>
      <c r="H87" s="314">
        <f>((10000*('1. Landuse'!$I$20*'1. Landuse'!$J$20))*(H54-H65))/1000000-H76</f>
        <v>3.9698492462311559</v>
      </c>
      <c r="I87" s="314">
        <f>((10000*('1. Landuse'!$I$20*'1. Landuse'!$J$20))*(I54-I65))/1000000-I76</f>
        <v>3.9698492462311559</v>
      </c>
      <c r="J87" s="314">
        <f>((10000*('1. Landuse'!$I$20*'1. Landuse'!$J$20))*(J54-J65))/1000000-J76</f>
        <v>3.9698492462311559</v>
      </c>
      <c r="K87" s="314">
        <f>((10000*('1. Landuse'!$I$20*'1. Landuse'!$J$20))*(K54-K65))/1000000-K76</f>
        <v>3.9698492462311559</v>
      </c>
      <c r="L87" s="314">
        <f>((10000*('1. Landuse'!$I$20*'1. Landuse'!$J$20))*(L54-L65))/1000000-L76</f>
        <v>3.9698492462311559</v>
      </c>
      <c r="M87" s="314">
        <f>((10000*('1. Landuse'!$I$20*'1. Landuse'!$J$20))*(M54-M65))/1000000-M76</f>
        <v>3.9698492462311559</v>
      </c>
      <c r="N87" s="314">
        <f>((10000*('1. Landuse'!$I$20*'1. Landuse'!$J$20))*(N54-N65))/1000000-N76</f>
        <v>3.9698492462311559</v>
      </c>
      <c r="O87" s="314">
        <f>((10000*('1. Landuse'!$I$20*'1. Landuse'!$J$20))*(O54-O65))/1000000-O76</f>
        <v>3.9698492462311559</v>
      </c>
      <c r="P87" s="314">
        <f>((10000*('1. Landuse'!$I$20*'1. Landuse'!$J$20))*(P54-P65))/1000000-P76</f>
        <v>3.9698492462311559</v>
      </c>
      <c r="Q87" s="314">
        <f>((10000*('1. Landuse'!$I$20*'1. Landuse'!$J$20))*(Q54-Q65))/1000000-Q76</f>
        <v>3.9698492462311559</v>
      </c>
      <c r="R87" s="314">
        <f>((10000*('1. Landuse'!$I$20*'1. Landuse'!$J$20))*(R54-R65))/1000000-R76</f>
        <v>3.9698492462311559</v>
      </c>
      <c r="S87" s="314">
        <f>((10000*('1. Landuse'!$I$20*'1. Landuse'!$J$20))*(S54-S65))/1000000-S76</f>
        <v>3.9698492462311559</v>
      </c>
      <c r="T87" s="314">
        <f>((10000*('1. Landuse'!$I$20*'1. Landuse'!$J$20))*(T54-T65))/1000000-T76</f>
        <v>3.9698492462311559</v>
      </c>
      <c r="U87" s="314">
        <f>((10000*('1. Landuse'!$I$20*'1. Landuse'!$J$20))*(U54-U65))/1000000-U76</f>
        <v>3.9698492462311559</v>
      </c>
      <c r="V87" s="314">
        <f>((10000*('1. Landuse'!$I$20*'1. Landuse'!$J$20))*(V54-V65))/1000000-V76</f>
        <v>3.9698492462311559</v>
      </c>
      <c r="W87" s="314">
        <f>((10000*('1. Landuse'!$I$20*'1. Landuse'!$J$20))*(W54-W65))/1000000-W76</f>
        <v>3.9698492462311559</v>
      </c>
      <c r="X87" s="314">
        <f>((10000*('1. Landuse'!$I$20*'1. Landuse'!$J$20))*(X54-X65))/1000000-X76</f>
        <v>3.9698492462311559</v>
      </c>
      <c r="Y87" s="314">
        <f>((10000*('1. Landuse'!$I$20*'1. Landuse'!$J$20))*(Y54-Y65))/1000000-Y76</f>
        <v>3.9698492462311559</v>
      </c>
      <c r="Z87" s="314">
        <f>((10000*('1. Landuse'!$I$20*'1. Landuse'!$J$20))*(Z54-Z65))/1000000-Z76</f>
        <v>3.9698492462311559</v>
      </c>
      <c r="AA87" s="314">
        <f>((10000*('1. Landuse'!$I$20*'1. Landuse'!$J$20))*(AA54-AA65))/1000000-AA76</f>
        <v>3.9698492462311559</v>
      </c>
      <c r="AB87" s="314">
        <f>((10000*('1. Landuse'!$I$20*'1. Landuse'!$J$20))*(AB54-AB65))/1000000-AB76</f>
        <v>3.9698492462311559</v>
      </c>
      <c r="AC87" s="314">
        <f>((10000*('1. Landuse'!$I$20*'1. Landuse'!$J$20))*(AC54-AC65))/1000000-AC76</f>
        <v>3.9698492462311559</v>
      </c>
      <c r="AD87" s="314">
        <f>((10000*('1. Landuse'!$I$20*'1. Landuse'!$J$20))*(AD54-AD65))/1000000-AD76</f>
        <v>3.9698492462311559</v>
      </c>
      <c r="AE87" s="314">
        <f>((10000*('1. Landuse'!$I$20*'1. Landuse'!$J$20))*(AE54-AE65))/1000000-AE76</f>
        <v>3.9698492462311559</v>
      </c>
      <c r="AF87" s="314">
        <f>((10000*('1. Landuse'!$I$20*'1. Landuse'!$J$20))*(AF54-AF65))/1000000-AF76</f>
        <v>3.9698492462311559</v>
      </c>
      <c r="AG87" s="314">
        <f>((10000*('1. Landuse'!$I$20*'1. Landuse'!$J$20))*(AG54-AG65))/1000000-AG76</f>
        <v>3.9698492462311559</v>
      </c>
      <c r="AH87" s="314">
        <f>((10000*('1. Landuse'!$I$20*'1. Landuse'!$J$20))*(AH54-AH65))/1000000-AH76</f>
        <v>3.9698492462311559</v>
      </c>
      <c r="AI87" s="314">
        <f>((10000*('1. Landuse'!$I$20*'1. Landuse'!$J$20))*(AI54-AI65))/1000000-AI76</f>
        <v>3.9698492462311559</v>
      </c>
      <c r="AJ87" s="314">
        <f>((10000*('1. Landuse'!$I$20*'1. Landuse'!$J$20))*(AJ54-AJ65))/1000000-AJ76</f>
        <v>3.9698492462311559</v>
      </c>
      <c r="AK87" s="314">
        <f>((10000*('1. Landuse'!$I$20*'1. Landuse'!$J$20))*(AK54-AK65))/1000000-AK76</f>
        <v>3.9698492462311559</v>
      </c>
      <c r="AL87" s="314">
        <f>((10000*('1. Landuse'!$I$20*'1. Landuse'!$J$20))*(AL54-AL65))/1000000-AL76</f>
        <v>3.9698492462311559</v>
      </c>
      <c r="AM87" s="314">
        <f>((10000*('1. Landuse'!$I$20*'1. Landuse'!$J$20))*(AM54-AM65))/1000000-AM76</f>
        <v>3.9698492462311559</v>
      </c>
      <c r="AN87" s="314">
        <f>((10000*('1. Landuse'!$I$20*'1. Landuse'!$J$20))*(AN54-AN65))/1000000-AN76</f>
        <v>3.9698492462311559</v>
      </c>
      <c r="AO87" s="314">
        <f>((10000*('1. Landuse'!$I$20*'1. Landuse'!$J$20))*(AO54-AO65))/1000000-AO76</f>
        <v>3.9698492462311559</v>
      </c>
      <c r="AP87" s="314">
        <f>((10000*('1. Landuse'!$I$20*'1. Landuse'!$J$20))*(AP54-AP65))/1000000-AP76</f>
        <v>3.9698492462311559</v>
      </c>
      <c r="AQ87" s="314">
        <f>((10000*('1. Landuse'!$I$20*'1. Landuse'!$J$20))*(AQ54-AQ65))/1000000-AQ76</f>
        <v>3.9698492462311559</v>
      </c>
      <c r="AR87" s="314">
        <f>((10000*('1. Landuse'!$I$20*'1. Landuse'!$J$20))*(AR54-AR65))/1000000-AR76</f>
        <v>3.9698492462311559</v>
      </c>
      <c r="AS87" s="314">
        <f>((10000*('1. Landuse'!$I$20*'1. Landuse'!$J$20))*(AS54-AS65))/1000000-AS76</f>
        <v>3.9698492462311559</v>
      </c>
      <c r="AT87" s="314">
        <f>((10000*('1. Landuse'!$I$20*'1. Landuse'!$J$20))*(AT54-AT65))/1000000-AT76</f>
        <v>3.9698492462311559</v>
      </c>
      <c r="AU87" s="314">
        <f>((10000*('1. Landuse'!$I$20*'1. Landuse'!$J$20))*(AU54-AU65))/1000000-AU76</f>
        <v>3.9698492462311559</v>
      </c>
      <c r="AV87" s="314">
        <f>((10000*('1. Landuse'!$I$20*'1. Landuse'!$J$20))*(AV54-AV65))/1000000-AV76</f>
        <v>3.9698492462311559</v>
      </c>
      <c r="AW87" s="314">
        <f>((10000*('1. Landuse'!$I$20*'1. Landuse'!$J$20))*(AW54-AW65))/1000000-AW76</f>
        <v>3.9698492462311559</v>
      </c>
      <c r="AX87" s="314">
        <f>((10000*('1. Landuse'!$I$20*'1. Landuse'!$J$20))*(AX54-AX65))/1000000-AX76</f>
        <v>3.9698492462311559</v>
      </c>
      <c r="AY87" s="314">
        <f>((10000*('1. Landuse'!$I$20*'1. Landuse'!$J$20))*(AY54-AY65))/1000000-AY76</f>
        <v>3.9698492462311559</v>
      </c>
      <c r="AZ87" s="314">
        <f>((10000*('1. Landuse'!$I$20*'1. Landuse'!$J$20))*(AZ54-AZ65))/1000000-AZ76</f>
        <v>3.9698492462311559</v>
      </c>
      <c r="BA87" s="314">
        <f>((10000*('1. Landuse'!$I$20*'1. Landuse'!$J$20))*(BA54-BA65))/1000000-BA76</f>
        <v>3.9698492462311559</v>
      </c>
      <c r="BB87" s="314">
        <f>((10000*('1. Landuse'!$I$20*'1. Landuse'!$J$20))*(BB54-BB65))/1000000-BB76</f>
        <v>3.9698492462311559</v>
      </c>
      <c r="BC87" s="314">
        <f>((10000*('1. Landuse'!$I$20*'1. Landuse'!$J$20))*(BC54-BC65))/1000000-BC76</f>
        <v>3.9698492462311559</v>
      </c>
      <c r="BD87" s="314">
        <f>((10000*('1. Landuse'!$I$20*'1. Landuse'!$J$20))*(BD54-BD65))/1000000-BD76</f>
        <v>3.9698492462311559</v>
      </c>
      <c r="BE87" s="314">
        <f>((10000*('1. Landuse'!$I$20*'1. Landuse'!$J$20))*(BE54-BE65))/1000000-BE76</f>
        <v>3.9698492462311559</v>
      </c>
      <c r="BF87" s="314">
        <f>((10000*('1. Landuse'!$I$20*'1. Landuse'!$J$20))*(BF54-BF65))/1000000-BF76</f>
        <v>3.9698492462311559</v>
      </c>
      <c r="BG87" s="314">
        <f>((10000*('1. Landuse'!$I$20*'1. Landuse'!$J$20))*(BG54-BG65))/1000000-BG76</f>
        <v>3.9698492462311559</v>
      </c>
      <c r="BH87" s="314">
        <f>((10000*('1. Landuse'!$I$20*'1. Landuse'!$J$20))*(BH54-BH65))/1000000-BH76</f>
        <v>3.9698492462311559</v>
      </c>
      <c r="BI87" s="314">
        <f>((10000*('1. Landuse'!$I$20*'1. Landuse'!$J$20))*(BI54-BI65))/1000000-BI76</f>
        <v>3.9698492462311559</v>
      </c>
      <c r="BJ87" s="314">
        <f>((10000*('1. Landuse'!$I$20*'1. Landuse'!$J$20))*(BJ54-BJ65))/1000000-BJ76</f>
        <v>3.9698492462311559</v>
      </c>
      <c r="BK87" s="314">
        <f>((10000*('1. Landuse'!$I$20*'1. Landuse'!$J$20))*(BK54-BK65))/1000000-BK76</f>
        <v>3.9698492462311559</v>
      </c>
      <c r="BL87" s="314">
        <f>((10000*('1. Landuse'!$I$20*'1. Landuse'!$J$20))*(BL54-BL65))/1000000-BL76</f>
        <v>3.9698492462311559</v>
      </c>
      <c r="BM87" s="314">
        <f>((10000*('1. Landuse'!$I$20*'1. Landuse'!$J$20))*(BM54-BM65))/1000000-BM76</f>
        <v>3.9698492462311559</v>
      </c>
      <c r="BN87" s="314">
        <f>((10000*('1. Landuse'!$I$20*'1. Landuse'!$J$20))*(BN54-BN65))/1000000-BN76</f>
        <v>3.9698492462311559</v>
      </c>
      <c r="BO87" s="314">
        <f>((10000*('1. Landuse'!$I$20*'1. Landuse'!$J$20))*(BO54-BO65))/1000000-BO76</f>
        <v>3.9698492462311559</v>
      </c>
      <c r="BP87" s="314">
        <f>((10000*('1. Landuse'!$I$20*'1. Landuse'!$J$20))*(BP54-BP65))/1000000-BP76</f>
        <v>3.9698492462311559</v>
      </c>
      <c r="BQ87" s="314">
        <f>((10000*('1. Landuse'!$I$20*'1. Landuse'!$J$20))*(BQ54-BQ65))/1000000-BQ76</f>
        <v>3.9698492462311559</v>
      </c>
      <c r="BR87" s="314">
        <f>((10000*('1. Landuse'!$I$20*'1. Landuse'!$J$20))*(BR54-BR65))/1000000-BR76</f>
        <v>3.9698492462311559</v>
      </c>
      <c r="BS87" s="314">
        <f>((10000*('1. Landuse'!$I$20*'1. Landuse'!$J$20))*(BS54-BS65))/1000000-BS76</f>
        <v>3.9698492462311559</v>
      </c>
      <c r="BT87" s="314">
        <f>((10000*('1. Landuse'!$I$20*'1. Landuse'!$J$20))*(BT54-BT65))/1000000-BT76</f>
        <v>3.9698492462311559</v>
      </c>
      <c r="BU87" s="314">
        <f>((10000*('1. Landuse'!$I$20*'1. Landuse'!$J$20))*(BU54-BU65))/1000000-BU76</f>
        <v>3.9698492462311559</v>
      </c>
      <c r="BV87" s="314">
        <f>((10000*('1. Landuse'!$I$20*'1. Landuse'!$J$20))*(BV54-BV65))/1000000-BV76</f>
        <v>3.9698492462311559</v>
      </c>
      <c r="BW87" s="314">
        <f>((10000*('1. Landuse'!$I$20*'1. Landuse'!$J$20))*(BW54-BW65))/1000000-BW76</f>
        <v>3.9698492462311559</v>
      </c>
      <c r="BX87" s="314">
        <f>((10000*('1. Landuse'!$I$20*'1. Landuse'!$J$20))*(BX54-BX65))/1000000-BX76</f>
        <v>3.9698492462311559</v>
      </c>
      <c r="BY87" s="314">
        <f>((10000*('1. Landuse'!$I$20*'1. Landuse'!$J$20))*(BY54-BY65))/1000000-BY76</f>
        <v>3.9698492462311559</v>
      </c>
      <c r="BZ87" s="314">
        <f>((10000*('1. Landuse'!$I$20*'1. Landuse'!$J$20))*(BZ54-BZ65))/1000000-BZ76</f>
        <v>3.9698492462311559</v>
      </c>
      <c r="CA87" s="314">
        <f>((10000*('1. Landuse'!$I$20*'1. Landuse'!$J$20))*(CA54-CA65))/1000000-CA76</f>
        <v>3.9698492462311559</v>
      </c>
      <c r="CB87" s="314">
        <f>((10000*('1. Landuse'!$I$20*'1. Landuse'!$J$20))*(CB54-CB65))/1000000-CB76</f>
        <v>3.9698492462311559</v>
      </c>
      <c r="CC87" s="314">
        <f>((10000*('1. Landuse'!$I$20*'1. Landuse'!$J$20))*(CC54-CC65))/1000000-CC76</f>
        <v>3.9698492462311559</v>
      </c>
      <c r="CD87" s="314">
        <f>((10000*('1. Landuse'!$I$20*'1. Landuse'!$J$20))*(CD54-CD65))/1000000-CD76</f>
        <v>3.9698492462311559</v>
      </c>
      <c r="CE87" s="314">
        <f>((10000*('1. Landuse'!$I$20*'1. Landuse'!$J$20))*(CE54-CE65))/1000000-CE76</f>
        <v>3.9698492462311559</v>
      </c>
      <c r="CF87" s="314">
        <f>((10000*('1. Landuse'!$I$20*'1. Landuse'!$J$20))*(CF54-CF65))/1000000-CF76</f>
        <v>3.9698492462311559</v>
      </c>
      <c r="CG87" s="314">
        <f>((10000*('1. Landuse'!$I$20*'1. Landuse'!$J$20))*(CG54-CG65))/1000000-CG76</f>
        <v>3.9698492462311559</v>
      </c>
      <c r="CH87" s="314">
        <f>((10000*('1. Landuse'!$I$20*'1. Landuse'!$J$20))*(CH54-CH65))/1000000-CH76</f>
        <v>3.9698492462311559</v>
      </c>
      <c r="CI87" s="314">
        <f>((10000*('1. Landuse'!$I$20*'1. Landuse'!$J$20))*(CI54-CI65))/1000000-CI76</f>
        <v>3.9698492462311559</v>
      </c>
      <c r="CJ87"/>
      <c r="CK87"/>
    </row>
    <row r="88" spans="2:89">
      <c r="B88" s="656"/>
      <c r="D88" s="657"/>
      <c r="E88" s="657"/>
      <c r="F88" s="657"/>
      <c r="G88" s="657"/>
      <c r="H88" s="657"/>
      <c r="I88" s="657"/>
      <c r="J88" s="657"/>
      <c r="K88" s="657"/>
      <c r="L88" s="657"/>
      <c r="M88" s="657"/>
      <c r="N88" s="657"/>
      <c r="O88" s="657"/>
      <c r="P88" s="657"/>
      <c r="Q88" s="657"/>
      <c r="R88" s="657"/>
      <c r="S88" s="657"/>
      <c r="T88" s="657"/>
      <c r="U88" s="657"/>
      <c r="V88" s="657"/>
      <c r="W88" s="657"/>
      <c r="X88" s="657"/>
      <c r="Y88" s="657"/>
      <c r="Z88" s="657"/>
      <c r="AA88" s="657"/>
      <c r="AB88" s="657"/>
      <c r="AC88" s="657"/>
      <c r="AD88" s="657"/>
      <c r="AE88" s="657"/>
      <c r="AF88" s="657"/>
      <c r="AG88" s="657"/>
      <c r="AH88" s="657"/>
      <c r="AI88" s="657"/>
      <c r="AJ88" s="657"/>
      <c r="AK88" s="657"/>
      <c r="AL88" s="657"/>
      <c r="AM88" s="657"/>
      <c r="AN88" s="657"/>
      <c r="AO88" s="657"/>
      <c r="AP88" s="657"/>
      <c r="AQ88" s="657"/>
      <c r="AR88" s="657"/>
      <c r="AS88" s="657"/>
      <c r="AT88" s="657"/>
      <c r="AU88" s="657"/>
      <c r="AV88" s="657"/>
      <c r="AW88" s="657"/>
      <c r="AX88" s="657"/>
      <c r="AY88" s="657"/>
      <c r="AZ88" s="657"/>
      <c r="BA88" s="657"/>
      <c r="BB88" s="657"/>
      <c r="BC88" s="657"/>
      <c r="BD88" s="657"/>
      <c r="BE88" s="657"/>
      <c r="BF88" s="657"/>
      <c r="BG88" s="657"/>
      <c r="BH88" s="657"/>
      <c r="BI88" s="657"/>
      <c r="BJ88" s="657"/>
      <c r="BK88" s="657"/>
      <c r="BL88" s="657"/>
      <c r="BM88" s="657"/>
      <c r="BN88" s="657"/>
      <c r="BO88" s="657"/>
      <c r="BP88" s="657"/>
      <c r="BQ88" s="657"/>
      <c r="BR88" s="657"/>
      <c r="BS88" s="657"/>
      <c r="BT88" s="657"/>
      <c r="BU88" s="657"/>
      <c r="BV88" s="657"/>
      <c r="BW88" s="657"/>
      <c r="BX88" s="657"/>
      <c r="BY88" s="657"/>
      <c r="BZ88" s="657"/>
      <c r="CA88" s="657"/>
      <c r="CB88" s="657"/>
      <c r="CC88" s="657"/>
      <c r="CD88" s="657"/>
      <c r="CE88" s="657"/>
      <c r="CF88" s="657"/>
      <c r="CG88" s="657"/>
      <c r="CH88" s="657"/>
      <c r="CI88" s="657"/>
      <c r="CJ88"/>
      <c r="CK88"/>
    </row>
    <row r="89" spans="2:89">
      <c r="B89" s="656"/>
      <c r="D89" s="657"/>
      <c r="E89" s="657"/>
      <c r="F89" s="657"/>
      <c r="G89" s="657"/>
      <c r="H89" s="657"/>
      <c r="I89" s="657"/>
      <c r="J89" s="657"/>
      <c r="K89" s="657"/>
      <c r="L89" s="657"/>
      <c r="M89" s="657"/>
      <c r="N89" s="657"/>
      <c r="O89" s="657"/>
      <c r="P89" s="657"/>
      <c r="Q89" s="657"/>
      <c r="R89" s="657"/>
      <c r="S89" s="657"/>
      <c r="T89" s="657"/>
      <c r="U89" s="657"/>
      <c r="V89" s="657"/>
      <c r="W89" s="657"/>
      <c r="X89" s="657"/>
      <c r="Y89" s="657"/>
      <c r="Z89" s="657"/>
      <c r="AA89" s="657"/>
      <c r="AB89" s="657"/>
      <c r="AC89" s="657"/>
      <c r="AD89" s="657"/>
      <c r="AE89" s="657"/>
      <c r="AF89" s="657"/>
      <c r="AG89" s="657"/>
      <c r="AH89" s="657"/>
      <c r="AI89" s="657"/>
      <c r="AJ89" s="657"/>
      <c r="AK89" s="657"/>
      <c r="AL89" s="657"/>
      <c r="AM89" s="657"/>
      <c r="AN89" s="657"/>
      <c r="AO89" s="657"/>
      <c r="AP89" s="657"/>
      <c r="AQ89" s="657"/>
      <c r="AR89" s="657"/>
      <c r="AS89" s="657"/>
      <c r="AT89" s="657"/>
      <c r="AU89" s="657"/>
      <c r="AV89" s="657"/>
      <c r="AW89" s="657"/>
      <c r="AX89" s="657"/>
      <c r="AY89" s="657"/>
      <c r="AZ89" s="657"/>
      <c r="BA89" s="657"/>
      <c r="BB89" s="657"/>
      <c r="BC89" s="657"/>
      <c r="BD89" s="657"/>
      <c r="BE89" s="657"/>
      <c r="BF89" s="657"/>
      <c r="BG89" s="657"/>
      <c r="BH89" s="657"/>
      <c r="BI89" s="657"/>
      <c r="BJ89" s="657"/>
      <c r="BK89" s="657"/>
      <c r="BL89" s="657"/>
      <c r="BM89" s="657"/>
      <c r="BN89" s="657"/>
      <c r="BO89" s="657"/>
      <c r="BP89" s="657"/>
      <c r="BQ89" s="657"/>
      <c r="BR89" s="657"/>
      <c r="BS89" s="657"/>
      <c r="BT89" s="657"/>
      <c r="BU89" s="657"/>
      <c r="BV89" s="657"/>
      <c r="BW89" s="657"/>
      <c r="BX89" s="657"/>
      <c r="BY89" s="657"/>
      <c r="BZ89" s="657"/>
      <c r="CA89" s="657"/>
      <c r="CB89" s="657"/>
      <c r="CC89" s="657"/>
      <c r="CD89" s="657"/>
      <c r="CE89" s="657"/>
      <c r="CF89" s="657"/>
      <c r="CG89" s="657"/>
      <c r="CH89" s="657"/>
      <c r="CI89" s="657"/>
      <c r="CJ89"/>
      <c r="CK89"/>
    </row>
    <row r="90" spans="2:89">
      <c r="D90" s="223"/>
      <c r="E90" s="223"/>
      <c r="F90" s="223"/>
      <c r="G90" s="223"/>
      <c r="H90" s="223"/>
      <c r="I90" s="223"/>
      <c r="J90" s="223"/>
      <c r="K90" s="223"/>
      <c r="L90" s="223"/>
      <c r="M90" s="223"/>
      <c r="N90" s="223"/>
      <c r="O90" s="223"/>
      <c r="P90" s="223"/>
      <c r="Q90" s="365"/>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3"/>
      <c r="BA90" s="223"/>
      <c r="CJ90"/>
      <c r="CK90"/>
    </row>
    <row r="91" spans="2:89" s="518" customFormat="1" ht="15.75">
      <c r="B91" s="518" t="s">
        <v>617</v>
      </c>
      <c r="D91" s="519"/>
      <c r="E91" s="519"/>
      <c r="F91" s="519"/>
      <c r="G91" s="519"/>
      <c r="H91" s="519"/>
      <c r="I91" s="519"/>
      <c r="J91" s="519"/>
      <c r="K91" s="519"/>
      <c r="L91" s="519"/>
      <c r="M91" s="519"/>
      <c r="N91" s="519"/>
      <c r="O91" s="519"/>
      <c r="P91" s="519"/>
      <c r="Q91" s="519"/>
      <c r="R91" s="519"/>
      <c r="S91" s="519"/>
      <c r="T91" s="519"/>
      <c r="U91" s="519"/>
      <c r="V91" s="519"/>
      <c r="W91" s="519"/>
      <c r="X91" s="519"/>
      <c r="Y91" s="519"/>
      <c r="Z91" s="519"/>
      <c r="AA91" s="519"/>
      <c r="AB91" s="519"/>
      <c r="AC91" s="519"/>
      <c r="AD91" s="519"/>
      <c r="AE91" s="519"/>
      <c r="AF91" s="519"/>
      <c r="AG91" s="519"/>
      <c r="AH91" s="519"/>
      <c r="AI91" s="519"/>
      <c r="AJ91" s="519"/>
      <c r="AK91" s="519"/>
      <c r="AL91" s="519"/>
      <c r="AM91" s="519"/>
      <c r="AN91" s="519"/>
      <c r="AO91" s="519"/>
      <c r="AP91" s="519"/>
      <c r="AQ91" s="519"/>
      <c r="AR91" s="519"/>
      <c r="AS91" s="519"/>
      <c r="AT91" s="519"/>
      <c r="AU91" s="519"/>
      <c r="AV91" s="519"/>
      <c r="AW91" s="519"/>
      <c r="AX91" s="519"/>
      <c r="AY91" s="519"/>
      <c r="AZ91" s="519"/>
      <c r="BA91" s="519"/>
      <c r="CJ91" s="520"/>
      <c r="CK91" s="520"/>
    </row>
    <row r="92" spans="2:89" ht="51">
      <c r="B92" s="442"/>
      <c r="D92" s="507" t="s">
        <v>594</v>
      </c>
      <c r="E92" s="507" t="s">
        <v>619</v>
      </c>
      <c r="F92" s="507" t="s">
        <v>593</v>
      </c>
      <c r="G92" s="507" t="s">
        <v>620</v>
      </c>
      <c r="H92" s="507" t="s">
        <v>610</v>
      </c>
      <c r="J92" s="507" t="s">
        <v>596</v>
      </c>
      <c r="K92" s="507" t="s">
        <v>595</v>
      </c>
      <c r="L92" s="507" t="s">
        <v>597</v>
      </c>
      <c r="M92" s="507" t="s">
        <v>598</v>
      </c>
      <c r="N92" s="507" t="s">
        <v>599</v>
      </c>
      <c r="O92" s="223"/>
      <c r="P92" s="223"/>
      <c r="Q92" s="365"/>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3"/>
      <c r="BA92" s="223"/>
      <c r="CJ92"/>
      <c r="CK92"/>
    </row>
    <row r="93" spans="2:89" ht="15.75">
      <c r="B93" s="682"/>
      <c r="D93" s="223"/>
      <c r="E93" s="223"/>
      <c r="F93" s="223"/>
      <c r="G93" s="223"/>
      <c r="H93" s="223"/>
      <c r="J93" s="223"/>
      <c r="K93" s="223"/>
      <c r="L93" s="223"/>
      <c r="M93" s="223"/>
      <c r="N93" s="223"/>
      <c r="O93" s="223"/>
      <c r="P93" s="223"/>
      <c r="Q93" s="365"/>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3"/>
      <c r="BA93" s="223"/>
      <c r="CJ93"/>
      <c r="CK93"/>
    </row>
    <row r="94" spans="2:89">
      <c r="B94" s="508" t="s">
        <v>172</v>
      </c>
      <c r="D94" s="512">
        <v>1950</v>
      </c>
      <c r="E94" s="333">
        <f>564*0.7</f>
        <v>394.79999999999995</v>
      </c>
      <c r="F94" s="513">
        <f>D94/E94</f>
        <v>4.93920972644377</v>
      </c>
      <c r="G94" s="513">
        <f>L108</f>
        <v>4.938653048196616</v>
      </c>
      <c r="H94" s="513">
        <f>G94-F94</f>
        <v>-5.5667824715399661E-4</v>
      </c>
      <c r="J94" s="516">
        <f>'1. Landuse'!C$20*'3. Site Based'!E$7</f>
        <v>3723.8004042983298</v>
      </c>
      <c r="K94" s="223">
        <f>H94*1000000/J94</f>
        <v>-0.14949196700001183</v>
      </c>
      <c r="L94" s="515">
        <f>K94/D18</f>
        <v>-1.1561637045631231E-4</v>
      </c>
      <c r="M94" s="514">
        <f>K94/D7</f>
        <v>-4.1548628960536914E-5</v>
      </c>
      <c r="N94" s="514">
        <f>H94/G94</f>
        <v>-1.1271863840633057E-4</v>
      </c>
      <c r="O94" s="223"/>
      <c r="P94" s="223"/>
      <c r="Q94" s="365"/>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3"/>
      <c r="BA94" s="223"/>
      <c r="CJ94"/>
      <c r="CK94"/>
    </row>
    <row r="95" spans="2:89">
      <c r="B95" s="508" t="s">
        <v>173</v>
      </c>
      <c r="D95" s="512"/>
      <c r="E95" s="333"/>
      <c r="F95" s="223"/>
      <c r="G95" s="513"/>
      <c r="H95" s="223"/>
      <c r="J95" s="333"/>
      <c r="K95" s="223"/>
      <c r="L95" s="223"/>
      <c r="M95" s="223"/>
      <c r="N95" s="223"/>
      <c r="O95" s="223"/>
      <c r="P95" s="223"/>
      <c r="Q95" s="365"/>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row>
    <row r="96" spans="2:89">
      <c r="B96" s="508" t="s">
        <v>174</v>
      </c>
      <c r="D96" s="512"/>
      <c r="E96" s="333"/>
      <c r="F96" s="223"/>
      <c r="G96" s="513"/>
      <c r="H96" s="223"/>
      <c r="J96" s="333"/>
      <c r="K96" s="223"/>
      <c r="L96" s="223"/>
      <c r="M96" s="223"/>
      <c r="N96" s="223"/>
      <c r="O96" s="223"/>
      <c r="P96" s="223"/>
      <c r="Q96" s="365"/>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3"/>
      <c r="BA96" s="223"/>
    </row>
    <row r="97" spans="2:89">
      <c r="B97" s="508" t="s">
        <v>175</v>
      </c>
      <c r="D97" s="512">
        <v>21</v>
      </c>
      <c r="E97" s="333">
        <f>564*0.3*0.6</f>
        <v>101.52</v>
      </c>
      <c r="F97" s="513">
        <f>D97/E97</f>
        <v>0.20685579196217496</v>
      </c>
      <c r="G97" s="513">
        <f>L111</f>
        <v>0.11902755612299161</v>
      </c>
      <c r="H97" s="513">
        <f>G97-F97</f>
        <v>-8.7828235839183352E-2</v>
      </c>
      <c r="J97" s="516">
        <f>'3. Site Based'!I$7*'1. Landuse'!C$20</f>
        <v>2979.040323438664</v>
      </c>
      <c r="K97" s="223">
        <f>H97*1000000/J97</f>
        <v>-29.482056737588724</v>
      </c>
      <c r="L97" s="515">
        <f>K97/D21</f>
        <v>-2.2801281312906978E-2</v>
      </c>
      <c r="M97" s="514">
        <f>K97/D10</f>
        <v>-1.638802486803153E-2</v>
      </c>
      <c r="N97" s="514">
        <f>H97/G97</f>
        <v>-0.73788153516678201</v>
      </c>
      <c r="O97" s="223"/>
      <c r="P97" s="223"/>
      <c r="Q97" s="365"/>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3"/>
      <c r="BA97" s="223"/>
    </row>
    <row r="98" spans="2:89">
      <c r="B98" s="508" t="s">
        <v>176</v>
      </c>
      <c r="D98" s="512">
        <v>195</v>
      </c>
      <c r="E98" s="333">
        <f>564*0.3*0.4</f>
        <v>67.679999999999993</v>
      </c>
      <c r="F98" s="513">
        <f>D98/E98</f>
        <v>2.8812056737588656</v>
      </c>
      <c r="G98" s="513">
        <f>L112</f>
        <v>2.6258899882966276</v>
      </c>
      <c r="H98" s="513">
        <f>G98-F98</f>
        <v>-0.25531568546223804</v>
      </c>
      <c r="J98" s="516">
        <f>J97</f>
        <v>2979.040323438664</v>
      </c>
      <c r="K98" s="223">
        <f>H98*1000000/J98</f>
        <v>-85.70400455927053</v>
      </c>
      <c r="L98" s="515">
        <f>K98/D22</f>
        <v>-6.628306617112957E-2</v>
      </c>
      <c r="M98" s="514">
        <f>K98/D11</f>
        <v>-3.1753984645894975E-2</v>
      </c>
      <c r="N98" s="514">
        <f>H98/G98</f>
        <v>-9.7230153052930146E-2</v>
      </c>
      <c r="O98" s="223"/>
      <c r="P98" s="223"/>
      <c r="Q98" s="365"/>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3"/>
      <c r="BA98" s="223"/>
    </row>
    <row r="99" spans="2:89">
      <c r="B99" s="508" t="s">
        <v>177</v>
      </c>
      <c r="D99" s="512"/>
      <c r="E99" s="333"/>
      <c r="F99" s="223"/>
      <c r="G99" s="513"/>
      <c r="H99" s="223"/>
      <c r="J99" s="333"/>
      <c r="K99" s="223"/>
      <c r="L99" s="223"/>
      <c r="M99" s="223"/>
      <c r="N99" s="223"/>
      <c r="O99" s="223"/>
      <c r="P99" s="223"/>
      <c r="Q99" s="365"/>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3"/>
      <c r="BA99" s="223"/>
    </row>
    <row r="100" spans="2:89">
      <c r="B100" s="509" t="s">
        <v>50</v>
      </c>
      <c r="D100" s="512"/>
      <c r="E100" s="333">
        <v>25.7</v>
      </c>
      <c r="F100" s="513">
        <f>D100/E100</f>
        <v>0</v>
      </c>
      <c r="G100" s="513">
        <f>L114</f>
        <v>0</v>
      </c>
      <c r="H100" s="513">
        <f>G100-F100</f>
        <v>0</v>
      </c>
      <c r="J100" s="516">
        <f>'1. Landuse'!I$18*'1. Landuse'!J$18*10000</f>
        <v>8000</v>
      </c>
      <c r="K100" s="223"/>
      <c r="L100" s="515"/>
      <c r="M100" s="514"/>
      <c r="N100" s="514"/>
    </row>
    <row r="101" spans="2:89">
      <c r="B101" s="508" t="s">
        <v>237</v>
      </c>
      <c r="D101" s="512">
        <v>11</v>
      </c>
      <c r="E101" s="333">
        <v>25.7</v>
      </c>
      <c r="F101" s="513">
        <f>D101/E101</f>
        <v>0.42801556420233466</v>
      </c>
      <c r="G101" s="513">
        <f>L115</f>
        <v>0.44501333333333376</v>
      </c>
      <c r="H101" s="513">
        <f>G101-F101</f>
        <v>1.6997769130999096E-2</v>
      </c>
      <c r="J101" s="516">
        <f>'1. Landuse'!I$19*'1. Landuse'!J$19*10000</f>
        <v>4000</v>
      </c>
      <c r="K101" s="223">
        <f>H101*1000000/J101</f>
        <v>4.249442282749774</v>
      </c>
      <c r="L101" s="515">
        <f>K101/D25</f>
        <v>5.2853759735693702E-3</v>
      </c>
      <c r="M101" s="514">
        <f>K101/D14</f>
        <v>2.9647271740114701E-3</v>
      </c>
      <c r="N101" s="514">
        <f>H101/G101</f>
        <v>3.8196089550123768E-2</v>
      </c>
    </row>
    <row r="102" spans="2:89">
      <c r="B102" s="508" t="s">
        <v>516</v>
      </c>
      <c r="D102" s="512">
        <v>79</v>
      </c>
      <c r="E102" s="333">
        <v>19.899999999999999</v>
      </c>
      <c r="F102" s="513">
        <f>D102/E102</f>
        <v>3.9698492462311559</v>
      </c>
      <c r="G102" s="513">
        <f>L116</f>
        <v>3.9956646153846158</v>
      </c>
      <c r="H102" s="513">
        <f>G102-F102</f>
        <v>2.5815369153459944E-2</v>
      </c>
      <c r="J102" s="516">
        <f>'1. Landuse'!I$20*'1. Landuse'!J$20*10000</f>
        <v>4000</v>
      </c>
      <c r="K102" s="223">
        <f>H102*1000000/J102</f>
        <v>6.4538422883649869</v>
      </c>
      <c r="L102" s="515">
        <f>K102/D26</f>
        <v>8.5030860189262009E-3</v>
      </c>
      <c r="M102" s="514">
        <f>K102/D15</f>
        <v>2.5975216640478273E-3</v>
      </c>
      <c r="N102" s="514">
        <f>H102/G102</f>
        <v>6.4608448502064784E-3</v>
      </c>
    </row>
    <row r="103" spans="2:89">
      <c r="B103" s="96"/>
      <c r="E103" s="333"/>
      <c r="I103" s="333"/>
    </row>
    <row r="104" spans="2:89">
      <c r="B104" s="442"/>
      <c r="D104" s="223">
        <f>SUM(D94:D103)</f>
        <v>2256</v>
      </c>
      <c r="E104" s="333">
        <f>SUM(E94:E103)</f>
        <v>635.29999999999995</v>
      </c>
      <c r="I104" s="333"/>
    </row>
    <row r="105" spans="2:89">
      <c r="B105" s="442"/>
      <c r="I105" s="333"/>
    </row>
    <row r="106" spans="2:89" ht="15.75">
      <c r="B106" s="518" t="s">
        <v>621</v>
      </c>
      <c r="I106" s="333"/>
    </row>
    <row r="107" spans="2:89" ht="38.25">
      <c r="B107" s="442"/>
      <c r="D107" s="517" t="s">
        <v>600</v>
      </c>
      <c r="E107" s="517" t="s">
        <v>601</v>
      </c>
      <c r="F107" s="517" t="s">
        <v>609</v>
      </c>
      <c r="G107" s="517" t="s">
        <v>602</v>
      </c>
      <c r="H107" s="517" t="s">
        <v>607</v>
      </c>
      <c r="I107" s="99" t="s">
        <v>603</v>
      </c>
      <c r="J107" s="517" t="s">
        <v>604</v>
      </c>
      <c r="K107" s="517" t="s">
        <v>605</v>
      </c>
      <c r="L107" s="517" t="s">
        <v>606</v>
      </c>
      <c r="M107" s="507"/>
      <c r="N107" s="507"/>
      <c r="O107" s="223"/>
      <c r="P107" s="223"/>
      <c r="Q107" s="365"/>
      <c r="R107" s="223"/>
      <c r="S107" s="223"/>
      <c r="T107" s="223"/>
      <c r="U107" s="223"/>
      <c r="V107" s="223"/>
      <c r="W107" s="223"/>
      <c r="X107" s="223"/>
      <c r="Y107" s="223"/>
      <c r="Z107" s="223"/>
      <c r="AA107" s="223"/>
      <c r="AB107" s="223"/>
      <c r="AC107" s="223"/>
      <c r="AD107" s="223"/>
      <c r="AE107" s="223"/>
      <c r="AF107" s="223"/>
      <c r="AG107" s="223"/>
      <c r="AH107" s="223"/>
      <c r="AI107" s="223"/>
      <c r="AJ107" s="223"/>
      <c r="AK107" s="223"/>
      <c r="AL107" s="223"/>
      <c r="AM107" s="223"/>
      <c r="AN107" s="223"/>
      <c r="AO107" s="223"/>
      <c r="AP107" s="223"/>
      <c r="AQ107" s="223"/>
      <c r="AR107" s="223"/>
      <c r="AS107" s="223"/>
      <c r="AT107" s="223"/>
      <c r="AU107" s="223"/>
      <c r="AV107" s="223"/>
      <c r="AW107" s="223"/>
      <c r="AX107" s="223"/>
      <c r="AY107" s="223"/>
      <c r="AZ107" s="223"/>
      <c r="BA107" s="223"/>
      <c r="CJ107"/>
      <c r="CK107"/>
    </row>
    <row r="108" spans="2:89">
      <c r="B108" s="508" t="s">
        <v>172</v>
      </c>
      <c r="D108" s="223">
        <f>D7</f>
        <v>3598</v>
      </c>
      <c r="E108" s="223">
        <f>D18</f>
        <v>1293</v>
      </c>
      <c r="F108" s="217">
        <f>D34</f>
        <v>0.17500000000000002</v>
      </c>
      <c r="G108" s="42">
        <f>D41</f>
        <v>0.27</v>
      </c>
      <c r="H108" s="310">
        <f>D108*(1-F108)</f>
        <v>2968.35</v>
      </c>
      <c r="I108" s="310">
        <f>E108*(1+G108)</f>
        <v>1642.1100000000001</v>
      </c>
      <c r="J108" s="310">
        <f>H108-I108</f>
        <v>1326.2399999999998</v>
      </c>
      <c r="K108" s="516">
        <f>'3. Site Based'!E7*'1. Landuse'!C20</f>
        <v>3723.8004042983298</v>
      </c>
      <c r="L108" s="513">
        <f>K108*J108/1000000</f>
        <v>4.938653048196616</v>
      </c>
    </row>
    <row r="109" spans="2:89">
      <c r="B109" s="508" t="s">
        <v>173</v>
      </c>
      <c r="D109" s="223"/>
      <c r="E109" s="223"/>
      <c r="F109" s="217"/>
      <c r="G109" s="42"/>
      <c r="H109" s="310"/>
      <c r="I109" s="310"/>
      <c r="J109" s="310"/>
    </row>
    <row r="110" spans="2:89">
      <c r="B110" s="508" t="s">
        <v>174</v>
      </c>
      <c r="D110" s="223"/>
      <c r="E110" s="223"/>
      <c r="F110" s="217"/>
      <c r="G110" s="42"/>
      <c r="H110" s="310"/>
      <c r="I110" s="310"/>
      <c r="J110" s="310"/>
    </row>
    <row r="111" spans="2:89">
      <c r="B111" s="508" t="s">
        <v>175</v>
      </c>
      <c r="D111" s="223">
        <f>D10</f>
        <v>1799</v>
      </c>
      <c r="E111" s="223">
        <f>D21</f>
        <v>1293</v>
      </c>
      <c r="F111" s="217">
        <f>G34</f>
        <v>6.5000000000000002E-2</v>
      </c>
      <c r="G111" s="42">
        <f>G41</f>
        <v>0.27</v>
      </c>
      <c r="H111" s="310">
        <f t="shared" ref="H111:H116" si="61">D111*(1-F111)</f>
        <v>1682.0650000000001</v>
      </c>
      <c r="I111" s="310">
        <f t="shared" ref="I111:I116" si="62">E111*(1+G111)</f>
        <v>1642.1100000000001</v>
      </c>
      <c r="J111" s="310">
        <f t="shared" ref="J111:J116" si="63">H111-I111</f>
        <v>39.954999999999927</v>
      </c>
      <c r="K111" s="516">
        <f>'3. Site Based'!I$7*'1. Landuse'!C$20</f>
        <v>2979.040323438664</v>
      </c>
      <c r="L111" s="513">
        <f>K111*J111/1000000</f>
        <v>0.11902755612299161</v>
      </c>
    </row>
    <row r="112" spans="2:89" s="313" customFormat="1">
      <c r="B112" s="697" t="s">
        <v>176</v>
      </c>
      <c r="D112" s="698">
        <f>D11</f>
        <v>2699</v>
      </c>
      <c r="E112" s="698">
        <f>D22</f>
        <v>1293</v>
      </c>
      <c r="F112" s="699">
        <f>H34</f>
        <v>6.5000000000000002E-2</v>
      </c>
      <c r="G112" s="700">
        <f>H41</f>
        <v>0.27</v>
      </c>
      <c r="H112" s="701">
        <f t="shared" si="61"/>
        <v>2523.5650000000001</v>
      </c>
      <c r="I112" s="701">
        <f t="shared" si="62"/>
        <v>1642.1100000000001</v>
      </c>
      <c r="J112" s="701">
        <f t="shared" si="63"/>
        <v>881.45499999999993</v>
      </c>
      <c r="K112" s="702">
        <f>K111</f>
        <v>2979.040323438664</v>
      </c>
      <c r="L112" s="703">
        <f>K112*J112/1000000</f>
        <v>2.6258899882966276</v>
      </c>
      <c r="Q112" s="704"/>
    </row>
    <row r="113" spans="2:12">
      <c r="B113" s="508" t="s">
        <v>177</v>
      </c>
      <c r="D113" s="223"/>
      <c r="E113" s="223"/>
      <c r="F113" s="217"/>
      <c r="G113" s="42"/>
      <c r="H113" s="310"/>
      <c r="I113" s="310"/>
      <c r="J113" s="310"/>
      <c r="K113" s="333"/>
    </row>
    <row r="114" spans="2:12">
      <c r="B114" s="509" t="s">
        <v>50</v>
      </c>
      <c r="D114" s="223">
        <f>D13</f>
        <v>0</v>
      </c>
      <c r="E114" s="223">
        <f>D24</f>
        <v>0</v>
      </c>
      <c r="F114" s="217"/>
      <c r="G114" s="42"/>
      <c r="H114" s="310"/>
      <c r="I114" s="310"/>
      <c r="J114" s="310"/>
      <c r="K114" s="333">
        <f>'1. Landuse'!I$18*'1. Landuse'!J$18*10000</f>
        <v>8000</v>
      </c>
      <c r="L114" s="513">
        <f>K114*J114/1000000</f>
        <v>0</v>
      </c>
    </row>
    <row r="115" spans="2:12">
      <c r="B115" s="508" t="s">
        <v>237</v>
      </c>
      <c r="D115" s="223">
        <f>D14</f>
        <v>1433.3333333333335</v>
      </c>
      <c r="E115" s="223">
        <f>D25</f>
        <v>804</v>
      </c>
      <c r="F115" s="217">
        <f>K34</f>
        <v>0.21</v>
      </c>
      <c r="G115" s="217">
        <f>K41</f>
        <v>0.27</v>
      </c>
      <c r="H115" s="310">
        <f t="shared" si="61"/>
        <v>1132.3333333333335</v>
      </c>
      <c r="I115" s="310">
        <f t="shared" si="62"/>
        <v>1021.08</v>
      </c>
      <c r="J115" s="310">
        <f t="shared" si="63"/>
        <v>111.25333333333344</v>
      </c>
      <c r="K115" s="333">
        <f>'1. Landuse'!I$19*'1. Landuse'!J$19*10000</f>
        <v>4000</v>
      </c>
      <c r="L115" s="513">
        <f>K115*J115/1000000</f>
        <v>0.44501333333333376</v>
      </c>
    </row>
    <row r="116" spans="2:12">
      <c r="B116" s="508" t="s">
        <v>516</v>
      </c>
      <c r="D116" s="223">
        <f>D15</f>
        <v>2484.6153846153848</v>
      </c>
      <c r="E116" s="223">
        <f>D26</f>
        <v>759</v>
      </c>
      <c r="F116" s="217">
        <f>L34</f>
        <v>0.21</v>
      </c>
      <c r="G116" s="42">
        <f>L41</f>
        <v>0.27</v>
      </c>
      <c r="H116" s="310">
        <f t="shared" si="61"/>
        <v>1962.846153846154</v>
      </c>
      <c r="I116" s="310">
        <f t="shared" si="62"/>
        <v>963.93000000000006</v>
      </c>
      <c r="J116" s="310">
        <f t="shared" si="63"/>
        <v>998.91615384615397</v>
      </c>
      <c r="K116" s="333">
        <f>'1. Landuse'!I$20*'1. Landuse'!J$20*10000</f>
        <v>4000</v>
      </c>
      <c r="L116" s="513">
        <f>K116*J116/1000000</f>
        <v>3.9956646153846158</v>
      </c>
    </row>
  </sheetData>
  <sheetProtection selectLockedCells="1" selectUnlockedCells="1"/>
  <mergeCells count="1">
    <mergeCell ref="I3:K3"/>
  </mergeCells>
  <phoneticPr fontId="7" type="noConversion"/>
  <pageMargins left="0.70866141732283472" right="0.70866141732283472" top="0.74803149606299213" bottom="0.74803149606299213" header="0.31496062992125984" footer="0.31496062992125984"/>
  <pageSetup paperSize="8" scale="80" fitToHeight="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U276"/>
  <sheetViews>
    <sheetView showGridLines="0" topLeftCell="A199" zoomScale="121" zoomScaleNormal="120" workbookViewId="0">
      <selection activeCell="D155" sqref="D155"/>
    </sheetView>
  </sheetViews>
  <sheetFormatPr defaultColWidth="11.42578125" defaultRowHeight="12.75"/>
  <cols>
    <col min="1" max="1" width="2.85546875" style="301" customWidth="1"/>
    <col min="2" max="2" width="24.140625" customWidth="1"/>
    <col min="3" max="3" width="11.42578125" customWidth="1"/>
    <col min="4" max="4" width="8.85546875" customWidth="1"/>
    <col min="5" max="5" width="11.140625" bestFit="1" customWidth="1"/>
    <col min="9" max="9" width="12.7109375" bestFit="1" customWidth="1"/>
    <col min="12" max="14" width="11.42578125" customWidth="1"/>
  </cols>
  <sheetData>
    <row r="1" spans="1:12">
      <c r="A1" s="301" t="s">
        <v>531</v>
      </c>
    </row>
    <row r="2" spans="1:12">
      <c r="D2" s="318" t="s">
        <v>4</v>
      </c>
      <c r="E2" s="318" t="s">
        <v>517</v>
      </c>
      <c r="F2" s="318" t="s">
        <v>518</v>
      </c>
      <c r="G2" s="318" t="s">
        <v>524</v>
      </c>
      <c r="H2" s="318" t="s">
        <v>534</v>
      </c>
    </row>
    <row r="3" spans="1:12">
      <c r="B3" t="s">
        <v>801</v>
      </c>
      <c r="D3">
        <f>SUM(E3:G3)</f>
        <v>41000</v>
      </c>
      <c r="E3">
        <v>12500</v>
      </c>
      <c r="F3">
        <v>21000</v>
      </c>
      <c r="G3">
        <v>7500</v>
      </c>
      <c r="H3" t="s">
        <v>728</v>
      </c>
    </row>
    <row r="4" spans="1:12">
      <c r="B4" t="s">
        <v>803</v>
      </c>
      <c r="D4">
        <f>SUM(E4:G4)</f>
        <v>6550</v>
      </c>
      <c r="E4">
        <v>2700</v>
      </c>
      <c r="F4">
        <v>1350</v>
      </c>
      <c r="G4">
        <v>2500</v>
      </c>
    </row>
    <row r="5" spans="1:12">
      <c r="B5" t="s">
        <v>549</v>
      </c>
      <c r="D5">
        <f>SUM(E5:G5)</f>
        <v>2279</v>
      </c>
      <c r="E5">
        <v>685</v>
      </c>
      <c r="F5">
        <v>1170</v>
      </c>
      <c r="G5">
        <v>424</v>
      </c>
      <c r="H5" t="s">
        <v>729</v>
      </c>
      <c r="I5" s="317">
        <f>2279*2.471</f>
        <v>5631.4090000000006</v>
      </c>
    </row>
    <row r="6" spans="1:12">
      <c r="B6" t="s">
        <v>550</v>
      </c>
      <c r="E6">
        <v>320</v>
      </c>
      <c r="F6">
        <v>564</v>
      </c>
      <c r="G6">
        <v>196</v>
      </c>
    </row>
    <row r="7" spans="1:12">
      <c r="B7" t="s">
        <v>469</v>
      </c>
      <c r="E7" s="316">
        <f>E3/E6</f>
        <v>39.0625</v>
      </c>
      <c r="F7" s="316">
        <f>F3/F6</f>
        <v>37.234042553191486</v>
      </c>
      <c r="G7" s="316">
        <f>G3/G6</f>
        <v>38.265306122448976</v>
      </c>
      <c r="H7" t="s">
        <v>535</v>
      </c>
    </row>
    <row r="8" spans="1:12">
      <c r="B8" t="s">
        <v>525</v>
      </c>
      <c r="F8" s="366">
        <f>1-F7/$E7</f>
        <v>4.680851063829794E-2</v>
      </c>
      <c r="G8" s="366">
        <f>1-G7/$E7</f>
        <v>2.0408163265306256E-2</v>
      </c>
    </row>
    <row r="9" spans="1:12">
      <c r="F9" s="366"/>
      <c r="G9" s="366"/>
    </row>
    <row r="10" spans="1:12" ht="13.5" thickBot="1">
      <c r="F10" s="366"/>
      <c r="G10" s="366"/>
    </row>
    <row r="11" spans="1:12" ht="15" thickBot="1">
      <c r="A11" s="194" t="s">
        <v>874</v>
      </c>
      <c r="F11" s="366"/>
      <c r="G11" s="366"/>
      <c r="L11" s="764"/>
    </row>
    <row r="12" spans="1:12">
      <c r="A12" s="834" t="s">
        <v>818</v>
      </c>
      <c r="B12" s="835"/>
      <c r="C12" s="835"/>
      <c r="D12" s="836" t="s">
        <v>4</v>
      </c>
      <c r="E12" s="836" t="s">
        <v>517</v>
      </c>
      <c r="F12" s="836" t="s">
        <v>518</v>
      </c>
      <c r="G12" s="836" t="s">
        <v>524</v>
      </c>
    </row>
    <row r="13" spans="1:12">
      <c r="A13" s="834"/>
      <c r="B13" s="835" t="s">
        <v>804</v>
      </c>
      <c r="C13" s="835"/>
      <c r="D13" s="835">
        <f>SUM(E13:G13)</f>
        <v>5050</v>
      </c>
      <c r="E13" s="835">
        <v>2100</v>
      </c>
      <c r="F13" s="835">
        <v>1050</v>
      </c>
      <c r="G13" s="835">
        <v>1900</v>
      </c>
    </row>
    <row r="14" spans="1:12">
      <c r="A14" s="834"/>
      <c r="B14" s="835" t="s">
        <v>805</v>
      </c>
      <c r="C14" s="835"/>
      <c r="D14" s="835">
        <f>SUM(E14:G14)</f>
        <v>6550</v>
      </c>
      <c r="E14" s="835">
        <v>2700</v>
      </c>
      <c r="F14" s="835">
        <v>1350</v>
      </c>
      <c r="G14" s="835">
        <v>2500</v>
      </c>
    </row>
    <row r="15" spans="1:12">
      <c r="A15" s="834"/>
      <c r="B15" s="835" t="s">
        <v>819</v>
      </c>
      <c r="C15" s="835"/>
      <c r="D15" s="835">
        <f>SUM(E15:G15)</f>
        <v>5910</v>
      </c>
      <c r="E15" s="835">
        <v>2060</v>
      </c>
      <c r="F15" s="835">
        <v>1350</v>
      </c>
      <c r="G15" s="835">
        <v>2500</v>
      </c>
    </row>
    <row r="17" spans="2:11">
      <c r="B17" t="s">
        <v>802</v>
      </c>
      <c r="E17">
        <v>2022</v>
      </c>
      <c r="F17">
        <v>2027</v>
      </c>
      <c r="G17">
        <v>2022</v>
      </c>
    </row>
    <row r="18" spans="2:11">
      <c r="B18" t="s">
        <v>519</v>
      </c>
      <c r="E18">
        <v>2024</v>
      </c>
      <c r="F18">
        <v>2029</v>
      </c>
      <c r="G18">
        <v>2024</v>
      </c>
    </row>
    <row r="19" spans="2:11">
      <c r="B19" t="s">
        <v>520</v>
      </c>
      <c r="E19">
        <v>2066</v>
      </c>
      <c r="F19">
        <v>2098</v>
      </c>
      <c r="G19">
        <v>2049</v>
      </c>
    </row>
    <row r="20" spans="2:11">
      <c r="B20" t="s">
        <v>521</v>
      </c>
      <c r="E20">
        <f>E19-2019</f>
        <v>47</v>
      </c>
      <c r="F20">
        <f>F19-2019</f>
        <v>79</v>
      </c>
      <c r="G20">
        <f>G19-2019</f>
        <v>30</v>
      </c>
      <c r="H20" t="s">
        <v>536</v>
      </c>
    </row>
    <row r="22" spans="2:11">
      <c r="E22" s="318" t="s">
        <v>517</v>
      </c>
      <c r="F22" s="318" t="s">
        <v>518</v>
      </c>
      <c r="G22" s="318" t="s">
        <v>524</v>
      </c>
    </row>
    <row r="23" spans="2:11">
      <c r="B23" t="s">
        <v>522</v>
      </c>
      <c r="E23">
        <v>3950</v>
      </c>
      <c r="F23">
        <v>3598</v>
      </c>
      <c r="G23">
        <v>3568</v>
      </c>
    </row>
    <row r="24" spans="2:11">
      <c r="B24" t="s">
        <v>525</v>
      </c>
      <c r="F24" s="366">
        <f>1-F23/$E23</f>
        <v>8.9113924050632898E-2</v>
      </c>
      <c r="G24" s="366">
        <f>1-G23/$E23</f>
        <v>9.6708860759493698E-2</v>
      </c>
    </row>
    <row r="25" spans="2:11">
      <c r="B25" t="s">
        <v>523</v>
      </c>
      <c r="E25">
        <v>1330</v>
      </c>
      <c r="F25">
        <v>1293</v>
      </c>
      <c r="G25">
        <v>1281</v>
      </c>
    </row>
    <row r="27" spans="2:11">
      <c r="E27" s="318" t="s">
        <v>517</v>
      </c>
      <c r="F27" s="318" t="s">
        <v>518</v>
      </c>
      <c r="G27" s="318" t="s">
        <v>524</v>
      </c>
    </row>
    <row r="28" spans="2:11">
      <c r="B28" t="s">
        <v>526</v>
      </c>
      <c r="E28">
        <v>928</v>
      </c>
      <c r="F28">
        <v>1341</v>
      </c>
      <c r="G28">
        <v>582</v>
      </c>
      <c r="K28">
        <f>365/20000</f>
        <v>1.8249999999999999E-2</v>
      </c>
    </row>
    <row r="29" spans="2:11">
      <c r="B29" t="s">
        <v>537</v>
      </c>
      <c r="E29">
        <v>0</v>
      </c>
    </row>
    <row r="30" spans="2:11">
      <c r="B30" t="s">
        <v>527</v>
      </c>
      <c r="E30">
        <f>E28/E3*1000000</f>
        <v>74240</v>
      </c>
      <c r="F30" s="317">
        <f>F28/F3*1000000</f>
        <v>63857.142857142862</v>
      </c>
      <c r="G30">
        <f>G28/G3*1000000</f>
        <v>77600</v>
      </c>
    </row>
    <row r="31" spans="2:11">
      <c r="F31" s="317"/>
    </row>
    <row r="32" spans="2:11">
      <c r="E32" s="318" t="s">
        <v>517</v>
      </c>
      <c r="F32" s="318" t="s">
        <v>518</v>
      </c>
      <c r="G32" s="318" t="s">
        <v>524</v>
      </c>
    </row>
    <row r="33" spans="1:10">
      <c r="B33" t="s">
        <v>529</v>
      </c>
      <c r="E33">
        <f>1319+39+155</f>
        <v>1513</v>
      </c>
      <c r="F33">
        <f>1950+21+195</f>
        <v>2166</v>
      </c>
      <c r="G33">
        <f>691+8+69</f>
        <v>768</v>
      </c>
    </row>
    <row r="34" spans="1:10">
      <c r="B34" t="s">
        <v>528</v>
      </c>
      <c r="E34">
        <f>E3</f>
        <v>12500</v>
      </c>
      <c r="F34">
        <f>F3</f>
        <v>21000</v>
      </c>
      <c r="G34">
        <v>7500</v>
      </c>
    </row>
    <row r="35" spans="1:10">
      <c r="B35" t="s">
        <v>530</v>
      </c>
      <c r="E35" s="317">
        <f>E33*1000000/E34</f>
        <v>121040</v>
      </c>
      <c r="F35" s="317">
        <f>F33*1000000/F34</f>
        <v>103142.85714285714</v>
      </c>
      <c r="G35" s="317">
        <f>G33*1000000/G34</f>
        <v>102400</v>
      </c>
    </row>
    <row r="36" spans="1:10">
      <c r="B36" t="s">
        <v>525</v>
      </c>
      <c r="F36" s="366">
        <f>1-F35/$E35</f>
        <v>0.14786139174771029</v>
      </c>
      <c r="G36" s="366">
        <f>1-G35/$E35</f>
        <v>0.15399867812293455</v>
      </c>
    </row>
    <row r="37" spans="1:10">
      <c r="E37" s="318" t="s">
        <v>517</v>
      </c>
      <c r="F37" s="318" t="s">
        <v>518</v>
      </c>
      <c r="G37" s="318" t="s">
        <v>524</v>
      </c>
    </row>
    <row r="38" spans="1:10">
      <c r="B38" t="s">
        <v>730</v>
      </c>
      <c r="D38">
        <f>SUM(E38:G38)</f>
        <v>98400</v>
      </c>
      <c r="E38">
        <f>E3*2.4</f>
        <v>30000</v>
      </c>
      <c r="F38">
        <f>F3*2.4</f>
        <v>50400</v>
      </c>
      <c r="G38">
        <f>G3*2.4</f>
        <v>18000</v>
      </c>
    </row>
    <row r="39" spans="1:10" ht="15">
      <c r="B39" t="s">
        <v>733</v>
      </c>
      <c r="D39">
        <f>SUM(E39:G39)</f>
        <v>94299.999999999985</v>
      </c>
      <c r="E39">
        <f>E3*2.3</f>
        <v>28749.999999999996</v>
      </c>
      <c r="F39">
        <f>F3*2.3</f>
        <v>48299.999999999993</v>
      </c>
      <c r="G39">
        <f>G3*2.3</f>
        <v>17250</v>
      </c>
      <c r="J39" s="725" t="s">
        <v>731</v>
      </c>
    </row>
    <row r="40" spans="1:10" ht="15">
      <c r="B40" t="s">
        <v>732</v>
      </c>
      <c r="D40">
        <f>0.15*D3</f>
        <v>6150</v>
      </c>
      <c r="J40" s="725"/>
    </row>
    <row r="41" spans="1:10" ht="15">
      <c r="J41" s="725"/>
    </row>
    <row r="42" spans="1:10" ht="15">
      <c r="A42" s="301" t="s">
        <v>865</v>
      </c>
      <c r="J42" s="725"/>
    </row>
    <row r="43" spans="1:10" ht="15">
      <c r="A43" s="834" t="s">
        <v>112</v>
      </c>
      <c r="B43" s="835"/>
      <c r="C43" s="835"/>
      <c r="D43" s="835"/>
      <c r="E43" s="835"/>
      <c r="F43" s="835"/>
      <c r="G43" s="835"/>
      <c r="J43" s="725"/>
    </row>
    <row r="44" spans="1:10">
      <c r="A44" s="834"/>
      <c r="B44" s="835"/>
      <c r="C44" s="835"/>
      <c r="D44" s="835" t="s">
        <v>4</v>
      </c>
      <c r="E44" s="836" t="s">
        <v>517</v>
      </c>
      <c r="F44" s="836" t="s">
        <v>518</v>
      </c>
      <c r="G44" s="836" t="s">
        <v>524</v>
      </c>
    </row>
    <row r="45" spans="1:10">
      <c r="A45" s="834"/>
      <c r="B45" s="835"/>
      <c r="C45" s="835"/>
      <c r="D45" s="835"/>
      <c r="E45" s="835"/>
      <c r="F45" s="835"/>
      <c r="G45" s="835"/>
    </row>
    <row r="46" spans="1:10">
      <c r="A46" s="834"/>
      <c r="B46" s="835" t="s">
        <v>540</v>
      </c>
      <c r="C46" s="835"/>
      <c r="D46" s="835">
        <f>SUM(E46:G46)</f>
        <v>2851</v>
      </c>
      <c r="E46" s="835">
        <v>928</v>
      </c>
      <c r="F46" s="835">
        <v>1341</v>
      </c>
      <c r="G46" s="835">
        <v>582</v>
      </c>
    </row>
    <row r="47" spans="1:10">
      <c r="A47" s="834"/>
      <c r="B47" s="835" t="s">
        <v>541</v>
      </c>
      <c r="C47" s="835"/>
      <c r="D47" s="835">
        <f>SUM(E47:G47)</f>
        <v>336.20000000000005</v>
      </c>
      <c r="E47" s="837">
        <v>113.5</v>
      </c>
      <c r="F47" s="837">
        <v>144.30000000000001</v>
      </c>
      <c r="G47" s="837">
        <v>78.400000000000006</v>
      </c>
    </row>
    <row r="48" spans="1:10">
      <c r="A48" s="834"/>
      <c r="B48" s="835" t="s">
        <v>539</v>
      </c>
      <c r="C48" s="835"/>
      <c r="D48" s="838">
        <f>D47/(D46-D47)</f>
        <v>0.13368856370287896</v>
      </c>
      <c r="E48" s="838">
        <f>E47/(E46-E47)</f>
        <v>0.13934929404542665</v>
      </c>
      <c r="F48" s="838">
        <f>F47/(F46-F47)</f>
        <v>0.12058159939834545</v>
      </c>
      <c r="G48" s="838">
        <f>G47/(G46-G47)</f>
        <v>0.15567911040508339</v>
      </c>
    </row>
    <row r="49" spans="1:16">
      <c r="A49" s="834"/>
      <c r="B49" s="835"/>
      <c r="C49" s="835"/>
      <c r="D49" s="835"/>
      <c r="E49" s="835"/>
      <c r="F49" s="835"/>
      <c r="G49" s="835"/>
    </row>
    <row r="50" spans="1:16">
      <c r="A50" s="834"/>
      <c r="B50" s="835" t="s">
        <v>776</v>
      </c>
      <c r="C50" s="835"/>
      <c r="D50" s="837">
        <f>SUM(E50:G50)</f>
        <v>1005.9200000000001</v>
      </c>
      <c r="E50" s="837">
        <f>(E46-E47)*0.4</f>
        <v>325.8</v>
      </c>
      <c r="F50" s="837">
        <f>(F46-F47)*0.4</f>
        <v>478.68000000000006</v>
      </c>
      <c r="G50" s="837">
        <f>(G46-G47)*0.4</f>
        <v>201.44000000000003</v>
      </c>
    </row>
    <row r="51" spans="1:16">
      <c r="A51" s="834"/>
      <c r="B51" s="835" t="s">
        <v>820</v>
      </c>
      <c r="C51" s="835"/>
      <c r="D51" s="835"/>
      <c r="E51" s="837"/>
      <c r="F51" s="837"/>
      <c r="G51" s="837">
        <v>51210</v>
      </c>
    </row>
    <row r="52" spans="1:16">
      <c r="E52" s="317"/>
      <c r="F52" s="317"/>
      <c r="G52" s="317"/>
    </row>
    <row r="53" spans="1:16">
      <c r="E53" s="355"/>
      <c r="F53" s="355"/>
      <c r="G53" s="355"/>
    </row>
    <row r="55" spans="1:16" ht="27" customHeight="1">
      <c r="A55" s="820" t="s">
        <v>578</v>
      </c>
      <c r="I55" t="s">
        <v>879</v>
      </c>
    </row>
    <row r="56" spans="1:16" ht="27" customHeight="1">
      <c r="E56" s="318" t="s">
        <v>517</v>
      </c>
      <c r="F56" s="318" t="s">
        <v>518</v>
      </c>
      <c r="G56" s="318" t="s">
        <v>524</v>
      </c>
      <c r="I56" s="858" t="s">
        <v>578</v>
      </c>
      <c r="J56" s="835"/>
      <c r="K56" s="835"/>
      <c r="L56" s="835"/>
      <c r="M56" s="835"/>
      <c r="N56" s="835"/>
      <c r="O56" s="835"/>
      <c r="P56" s="835"/>
    </row>
    <row r="57" spans="1:16" ht="27" customHeight="1">
      <c r="E57" s="318" t="s">
        <v>779</v>
      </c>
      <c r="F57" s="318" t="s">
        <v>779</v>
      </c>
      <c r="G57" s="318" t="s">
        <v>779</v>
      </c>
      <c r="I57" s="835"/>
      <c r="J57" s="835"/>
      <c r="K57" s="835"/>
      <c r="L57" s="835"/>
      <c r="M57" s="835"/>
      <c r="N57" s="836" t="s">
        <v>517</v>
      </c>
      <c r="O57" s="836" t="s">
        <v>518</v>
      </c>
      <c r="P57" s="836" t="s">
        <v>524</v>
      </c>
    </row>
    <row r="58" spans="1:16" ht="20.100000000000001" customHeight="1">
      <c r="B58" t="s">
        <v>824</v>
      </c>
      <c r="E58" s="341">
        <v>77946</v>
      </c>
      <c r="F58" s="341">
        <v>58702</v>
      </c>
      <c r="G58" s="341">
        <v>189411</v>
      </c>
      <c r="I58" s="835" t="s">
        <v>824</v>
      </c>
      <c r="J58" s="835"/>
      <c r="K58" s="835"/>
      <c r="L58" s="835"/>
      <c r="M58" s="835"/>
      <c r="N58" s="837">
        <f t="shared" ref="N58:P59" si="0">E58</f>
        <v>77946</v>
      </c>
      <c r="O58" s="837">
        <f t="shared" si="0"/>
        <v>58702</v>
      </c>
      <c r="P58" s="837">
        <f t="shared" si="0"/>
        <v>189411</v>
      </c>
    </row>
    <row r="59" spans="1:16" ht="20.100000000000001" customHeight="1">
      <c r="B59" t="s">
        <v>855</v>
      </c>
      <c r="E59" s="341">
        <v>25930</v>
      </c>
      <c r="F59" s="341">
        <f>'6. Baseline Appraisal'!C134</f>
        <v>9335.1390334189764</v>
      </c>
      <c r="G59" s="341">
        <v>79608</v>
      </c>
      <c r="I59" s="835" t="s">
        <v>852</v>
      </c>
      <c r="J59" s="835"/>
      <c r="K59" s="835"/>
      <c r="L59" s="835"/>
      <c r="M59" s="835"/>
      <c r="N59" s="837">
        <f t="shared" si="0"/>
        <v>25930</v>
      </c>
      <c r="O59" s="837">
        <f t="shared" si="0"/>
        <v>9335.1390334189764</v>
      </c>
      <c r="P59" s="837">
        <f t="shared" si="0"/>
        <v>79608</v>
      </c>
    </row>
    <row r="60" spans="1:16" ht="20.100000000000001" customHeight="1">
      <c r="B60" t="s">
        <v>533</v>
      </c>
      <c r="E60" s="818" t="s">
        <v>532</v>
      </c>
      <c r="F60" s="818" t="s">
        <v>532</v>
      </c>
      <c r="G60" s="819" t="s">
        <v>532</v>
      </c>
      <c r="I60" s="835" t="s">
        <v>853</v>
      </c>
      <c r="J60" s="835"/>
      <c r="K60" s="835"/>
      <c r="L60" s="835"/>
      <c r="M60" s="835"/>
      <c r="N60" s="837">
        <f>E61</f>
        <v>5063</v>
      </c>
      <c r="O60" s="837">
        <f>F61</f>
        <v>-851</v>
      </c>
      <c r="P60" s="837">
        <f>G61</f>
        <v>51210</v>
      </c>
    </row>
    <row r="61" spans="1:16" ht="20.100000000000001" customHeight="1">
      <c r="B61" t="s">
        <v>826</v>
      </c>
      <c r="E61">
        <v>5063</v>
      </c>
      <c r="F61">
        <v>-851</v>
      </c>
      <c r="G61">
        <v>51210</v>
      </c>
      <c r="I61" s="835" t="s">
        <v>854</v>
      </c>
      <c r="J61" s="835"/>
      <c r="K61" s="835"/>
      <c r="L61" s="835"/>
      <c r="M61" s="835"/>
      <c r="N61" s="837"/>
      <c r="O61" s="837"/>
      <c r="P61" s="837">
        <f>G62</f>
        <v>29572</v>
      </c>
    </row>
    <row r="62" spans="1:16" ht="18.95" customHeight="1">
      <c r="B62" t="s">
        <v>825</v>
      </c>
      <c r="G62">
        <v>29572</v>
      </c>
    </row>
    <row r="63" spans="1:16" ht="18.95" customHeight="1">
      <c r="E63" s="317"/>
      <c r="F63" s="317"/>
      <c r="G63" s="317"/>
      <c r="I63" s="835" t="s">
        <v>880</v>
      </c>
      <c r="J63" s="835"/>
    </row>
    <row r="64" spans="1:16" ht="18.95" customHeight="1">
      <c r="E64" s="705" t="s">
        <v>822</v>
      </c>
      <c r="F64" s="705" t="s">
        <v>821</v>
      </c>
      <c r="G64" s="705" t="s">
        <v>823</v>
      </c>
    </row>
    <row r="65" spans="1:21" ht="18.95" customHeight="1"/>
    <row r="66" spans="1:21" ht="29.1" customHeight="1">
      <c r="B66" t="s">
        <v>719</v>
      </c>
      <c r="E66" s="724">
        <f>Grants!E15/E5/2.47*1000000</f>
        <v>0</v>
      </c>
      <c r="F66" s="341">
        <f>Grants!F17/F5/2.47*1000000</f>
        <v>79241.496245544811</v>
      </c>
      <c r="G66" s="341">
        <f>Grants!G17/G5/2.47*1000000</f>
        <v>94530.593537544861</v>
      </c>
    </row>
    <row r="68" spans="1:21">
      <c r="U68" s="316"/>
    </row>
    <row r="72" spans="1:21">
      <c r="A72" s="301" t="s">
        <v>542</v>
      </c>
      <c r="E72" s="367" t="s">
        <v>517</v>
      </c>
      <c r="F72" s="367" t="s">
        <v>518</v>
      </c>
      <c r="G72" s="367" t="s">
        <v>524</v>
      </c>
    </row>
    <row r="73" spans="1:21" ht="38.25">
      <c r="E73" s="369" t="s">
        <v>545</v>
      </c>
      <c r="F73" s="369" t="s">
        <v>548</v>
      </c>
      <c r="G73" s="369" t="s">
        <v>543</v>
      </c>
    </row>
    <row r="74" spans="1:21">
      <c r="B74" t="s">
        <v>546</v>
      </c>
      <c r="E74" s="368">
        <v>240.7</v>
      </c>
      <c r="F74" s="368">
        <v>197</v>
      </c>
      <c r="G74" s="317">
        <v>149.80000000000001</v>
      </c>
      <c r="H74" s="317"/>
    </row>
    <row r="75" spans="1:21">
      <c r="B75" s="371" t="s">
        <v>544</v>
      </c>
      <c r="E75" s="370">
        <v>2035</v>
      </c>
      <c r="F75" s="370">
        <v>2063</v>
      </c>
      <c r="G75" s="371">
        <v>2034</v>
      </c>
    </row>
    <row r="76" spans="1:21">
      <c r="E76" s="318"/>
      <c r="F76" s="318"/>
    </row>
    <row r="77" spans="1:21">
      <c r="B77" t="s">
        <v>547</v>
      </c>
      <c r="E77" s="368">
        <v>857.8</v>
      </c>
      <c r="F77" s="368">
        <v>3379.9</v>
      </c>
      <c r="G77" s="317">
        <v>325.89999999999998</v>
      </c>
      <c r="H77" s="317"/>
    </row>
    <row r="78" spans="1:21">
      <c r="B78" s="371" t="s">
        <v>544</v>
      </c>
      <c r="E78" s="370">
        <v>2051</v>
      </c>
      <c r="F78" s="370">
        <v>2084</v>
      </c>
      <c r="G78" s="371">
        <v>2035</v>
      </c>
    </row>
    <row r="79" spans="1:21">
      <c r="B79" s="371"/>
      <c r="E79" s="370"/>
      <c r="F79" s="370"/>
      <c r="G79" s="371"/>
    </row>
    <row r="80" spans="1:21">
      <c r="A80" s="301" t="s">
        <v>721</v>
      </c>
      <c r="E80" s="367" t="s">
        <v>724</v>
      </c>
      <c r="F80" s="367" t="s">
        <v>725</v>
      </c>
      <c r="G80" s="367" t="s">
        <v>726</v>
      </c>
      <c r="H80" s="318" t="s">
        <v>727</v>
      </c>
    </row>
    <row r="81" spans="2:21">
      <c r="B81" t="s">
        <v>722</v>
      </c>
      <c r="E81">
        <v>548</v>
      </c>
      <c r="F81">
        <v>604</v>
      </c>
      <c r="G81">
        <v>303</v>
      </c>
      <c r="H81">
        <f>SUM(E81:G81)</f>
        <v>1455</v>
      </c>
    </row>
    <row r="82" spans="2:21">
      <c r="B82" t="s">
        <v>720</v>
      </c>
      <c r="E82" s="317">
        <f>E81*0.06</f>
        <v>32.879999999999995</v>
      </c>
      <c r="F82" s="317">
        <f>F81*0.06</f>
        <v>36.24</v>
      </c>
      <c r="G82" s="317">
        <f>G81*0.06</f>
        <v>18.18</v>
      </c>
      <c r="H82" s="317">
        <f>SUM(E82:G82)</f>
        <v>87.300000000000011</v>
      </c>
    </row>
    <row r="83" spans="2:21">
      <c r="E83" s="317"/>
      <c r="F83" s="317"/>
      <c r="G83" s="317"/>
      <c r="H83" s="317"/>
    </row>
    <row r="84" spans="2:21">
      <c r="B84" t="s">
        <v>723</v>
      </c>
      <c r="E84" s="317">
        <v>193</v>
      </c>
      <c r="F84" s="317">
        <v>80</v>
      </c>
      <c r="G84" s="317">
        <v>94</v>
      </c>
      <c r="H84" s="317">
        <f>SUM(E84:G84)</f>
        <v>367</v>
      </c>
    </row>
    <row r="85" spans="2:21">
      <c r="B85" t="s">
        <v>720</v>
      </c>
      <c r="E85" s="317">
        <f>E84*0.06</f>
        <v>11.58</v>
      </c>
      <c r="F85" s="317">
        <f>F84*0.06</f>
        <v>4.8</v>
      </c>
      <c r="G85" s="317">
        <f>G84*0.06</f>
        <v>5.64</v>
      </c>
      <c r="H85" s="317">
        <f>SUM(E85:G85)</f>
        <v>22.02</v>
      </c>
    </row>
    <row r="88" spans="2:21">
      <c r="C88" s="318"/>
      <c r="D88" s="318"/>
      <c r="E88" s="318"/>
    </row>
    <row r="90" spans="2:21">
      <c r="D90" s="353"/>
      <c r="E90" s="353"/>
    </row>
    <row r="91" spans="2:21">
      <c r="D91" s="353"/>
      <c r="E91" s="353"/>
    </row>
    <row r="92" spans="2:21">
      <c r="D92" s="356"/>
      <c r="E92" s="353"/>
    </row>
    <row r="96" spans="2:21">
      <c r="U96" s="354"/>
    </row>
    <row r="98" spans="1:8">
      <c r="A98" s="301" t="s">
        <v>454</v>
      </c>
      <c r="D98" s="357" t="s">
        <v>511</v>
      </c>
      <c r="E98" s="357" t="s">
        <v>512</v>
      </c>
      <c r="F98" t="s">
        <v>462</v>
      </c>
    </row>
    <row r="99" spans="1:8">
      <c r="B99" t="s">
        <v>456</v>
      </c>
      <c r="D99">
        <v>21000</v>
      </c>
      <c r="E99">
        <v>23660</v>
      </c>
      <c r="F99" t="s">
        <v>466</v>
      </c>
    </row>
    <row r="100" spans="1:8">
      <c r="B100" t="s">
        <v>471</v>
      </c>
      <c r="D100">
        <v>35</v>
      </c>
      <c r="E100">
        <v>37.200000000000003</v>
      </c>
      <c r="F100" t="s">
        <v>470</v>
      </c>
    </row>
    <row r="101" spans="1:8">
      <c r="B101" t="s">
        <v>457</v>
      </c>
      <c r="D101">
        <v>1170</v>
      </c>
      <c r="E101">
        <v>1300</v>
      </c>
    </row>
    <row r="102" spans="1:8">
      <c r="B102" t="s">
        <v>458</v>
      </c>
      <c r="D102">
        <v>3598</v>
      </c>
      <c r="E102">
        <v>3504</v>
      </c>
      <c r="F102" t="s">
        <v>464</v>
      </c>
    </row>
    <row r="103" spans="1:8">
      <c r="B103" t="s">
        <v>461</v>
      </c>
      <c r="D103" s="342">
        <v>0.3</v>
      </c>
      <c r="E103" s="342">
        <v>0.3</v>
      </c>
    </row>
    <row r="104" spans="1:8">
      <c r="B104" t="s">
        <v>459</v>
      </c>
      <c r="D104" s="342">
        <v>0.6</v>
      </c>
      <c r="E104" s="342">
        <v>0.8</v>
      </c>
      <c r="F104" t="s">
        <v>463</v>
      </c>
    </row>
    <row r="105" spans="1:8">
      <c r="B105" t="s">
        <v>460</v>
      </c>
      <c r="D105" s="342">
        <v>0.15</v>
      </c>
      <c r="E105" s="342">
        <v>0.2</v>
      </c>
      <c r="F105" t="s">
        <v>465</v>
      </c>
    </row>
    <row r="108" spans="1:8">
      <c r="A108" s="301" t="s">
        <v>467</v>
      </c>
    </row>
    <row r="109" spans="1:8">
      <c r="B109" t="s">
        <v>468</v>
      </c>
    </row>
    <row r="112" spans="1:8">
      <c r="A112" s="301" t="s">
        <v>475</v>
      </c>
      <c r="F112" t="s">
        <v>473</v>
      </c>
      <c r="G112" t="s">
        <v>379</v>
      </c>
      <c r="H112" t="s">
        <v>474</v>
      </c>
    </row>
    <row r="113" spans="1:8">
      <c r="B113" t="s">
        <v>472</v>
      </c>
      <c r="F113">
        <v>14127</v>
      </c>
      <c r="G113">
        <v>21000</v>
      </c>
      <c r="H113" s="355">
        <f>1-F113/G113</f>
        <v>0.32728571428571429</v>
      </c>
    </row>
    <row r="114" spans="1:8">
      <c r="B114" t="s">
        <v>476</v>
      </c>
    </row>
    <row r="116" spans="1:8">
      <c r="B116" s="98" t="s">
        <v>50</v>
      </c>
      <c r="C116" s="41"/>
      <c r="D116" s="314">
        <v>0</v>
      </c>
      <c r="E116" s="17">
        <v>25.74</v>
      </c>
      <c r="F116" s="297">
        <f>E116*D116</f>
        <v>0</v>
      </c>
    </row>
    <row r="117" spans="1:8">
      <c r="B117" s="44" t="s">
        <v>237</v>
      </c>
      <c r="C117" s="41"/>
      <c r="D117" s="314">
        <v>0.54149333333333383</v>
      </c>
      <c r="E117" s="17">
        <v>25.74</v>
      </c>
      <c r="F117" s="297">
        <f>E117*D117</f>
        <v>13.938038400000012</v>
      </c>
    </row>
    <row r="118" spans="1:8">
      <c r="B118" s="44" t="s">
        <v>51</v>
      </c>
      <c r="C118" s="41"/>
      <c r="D118" s="314">
        <v>4.0867446153846165</v>
      </c>
      <c r="E118" s="17">
        <v>19.89</v>
      </c>
      <c r="F118" s="297">
        <f>E118*D118</f>
        <v>81.285350400000027</v>
      </c>
    </row>
    <row r="123" spans="1:8">
      <c r="A123" s="301" t="s">
        <v>640</v>
      </c>
    </row>
    <row r="124" spans="1:8">
      <c r="A124" s="301" t="s">
        <v>641</v>
      </c>
    </row>
    <row r="126" spans="1:8" ht="38.25">
      <c r="C126" s="367" t="s">
        <v>642</v>
      </c>
      <c r="D126" s="367" t="s">
        <v>643</v>
      </c>
      <c r="E126" s="367" t="s">
        <v>646</v>
      </c>
    </row>
    <row r="128" spans="1:8">
      <c r="B128" t="s">
        <v>280</v>
      </c>
      <c r="C128">
        <v>46.7</v>
      </c>
      <c r="D128">
        <v>37.1</v>
      </c>
      <c r="E128">
        <f>C128-D128</f>
        <v>9.6000000000000014</v>
      </c>
      <c r="F128" t="s">
        <v>648</v>
      </c>
    </row>
    <row r="129" spans="1:8">
      <c r="B129" t="s">
        <v>644</v>
      </c>
      <c r="C129">
        <v>19.600000000000001</v>
      </c>
      <c r="D129">
        <v>14.6</v>
      </c>
      <c r="E129">
        <f>C129-D129</f>
        <v>5.0000000000000018</v>
      </c>
      <c r="F129" t="s">
        <v>647</v>
      </c>
    </row>
    <row r="130" spans="1:8">
      <c r="B130" t="s">
        <v>645</v>
      </c>
      <c r="C130">
        <v>19.399999999999999</v>
      </c>
      <c r="D130">
        <v>14.4</v>
      </c>
      <c r="E130">
        <f>C130-D130</f>
        <v>4.9999999999999982</v>
      </c>
      <c r="F130" t="s">
        <v>648</v>
      </c>
    </row>
    <row r="131" spans="1:8" ht="13.5" thickBot="1">
      <c r="E131" s="648">
        <f>SUM(E128:E130)</f>
        <v>19.600000000000001</v>
      </c>
    </row>
    <row r="132" spans="1:8">
      <c r="E132" s="320"/>
    </row>
    <row r="133" spans="1:8">
      <c r="B133" t="s">
        <v>890</v>
      </c>
    </row>
    <row r="134" spans="1:8">
      <c r="A134" s="756"/>
      <c r="B134" s="860" t="s">
        <v>889</v>
      </c>
      <c r="C134" s="862"/>
      <c r="D134" s="862"/>
      <c r="E134" s="862"/>
    </row>
    <row r="135" spans="1:8" ht="63.75">
      <c r="A135" s="756"/>
      <c r="B135" s="835"/>
      <c r="C135" s="835"/>
      <c r="D135" s="839" t="s">
        <v>681</v>
      </c>
      <c r="E135" s="839" t="s">
        <v>746</v>
      </c>
    </row>
    <row r="136" spans="1:8">
      <c r="A136" s="756"/>
      <c r="B136" s="835" t="s">
        <v>777</v>
      </c>
      <c r="C136" s="835"/>
      <c r="D136" s="835">
        <v>9335</v>
      </c>
      <c r="E136" s="835">
        <v>58702</v>
      </c>
      <c r="H136" s="317"/>
    </row>
    <row r="137" spans="1:8">
      <c r="A137" s="756"/>
      <c r="B137" s="835"/>
      <c r="C137" s="835"/>
      <c r="D137" s="835"/>
      <c r="E137" s="835"/>
    </row>
    <row r="138" spans="1:8">
      <c r="A138" s="756"/>
      <c r="B138" s="835" t="s">
        <v>649</v>
      </c>
      <c r="C138" s="835"/>
      <c r="D138" s="835">
        <v>-28037</v>
      </c>
      <c r="E138" s="835">
        <v>-560000</v>
      </c>
    </row>
    <row r="139" spans="1:8">
      <c r="A139" s="756"/>
      <c r="B139" s="835" t="s">
        <v>778</v>
      </c>
      <c r="C139" s="835"/>
      <c r="D139" s="835">
        <v>-851</v>
      </c>
      <c r="E139" s="835">
        <v>-8997</v>
      </c>
    </row>
    <row r="140" spans="1:8">
      <c r="A140" s="756"/>
      <c r="B140" s="743" t="s">
        <v>680</v>
      </c>
      <c r="C140" s="743"/>
      <c r="D140" s="743">
        <v>5488</v>
      </c>
      <c r="E140" s="743">
        <v>32600</v>
      </c>
    </row>
    <row r="141" spans="1:8">
      <c r="A141" s="756"/>
      <c r="B141" s="743" t="s">
        <v>856</v>
      </c>
      <c r="C141" s="743"/>
      <c r="D141" s="743">
        <v>1413</v>
      </c>
      <c r="E141" s="743">
        <v>9400</v>
      </c>
    </row>
    <row r="142" spans="1:8">
      <c r="A142" s="756"/>
      <c r="B142" s="743"/>
      <c r="C142" s="743"/>
      <c r="D142" s="822"/>
      <c r="E142" s="822"/>
    </row>
    <row r="143" spans="1:8">
      <c r="B143" s="743" t="s">
        <v>888</v>
      </c>
    </row>
    <row r="144" spans="1:8">
      <c r="B144" s="860" t="s">
        <v>675</v>
      </c>
      <c r="C144" s="862"/>
      <c r="D144" s="861" t="s">
        <v>512</v>
      </c>
      <c r="E144" s="861" t="s">
        <v>676</v>
      </c>
    </row>
    <row r="145" spans="1:8">
      <c r="B145" s="862"/>
      <c r="C145" s="862"/>
      <c r="D145" s="862"/>
      <c r="E145" s="862"/>
    </row>
    <row r="146" spans="1:8">
      <c r="B146" s="862" t="s">
        <v>677</v>
      </c>
      <c r="C146" s="862"/>
      <c r="D146" s="866">
        <v>0.7</v>
      </c>
      <c r="E146" s="866">
        <v>0.7</v>
      </c>
    </row>
    <row r="147" spans="1:8">
      <c r="B147" s="862" t="s">
        <v>678</v>
      </c>
      <c r="C147" s="862"/>
      <c r="D147" s="867">
        <f>0.3*0.8</f>
        <v>0.24</v>
      </c>
      <c r="E147" s="867">
        <f>0.3*0.6</f>
        <v>0.18</v>
      </c>
    </row>
    <row r="148" spans="1:8">
      <c r="B148" s="862" t="s">
        <v>679</v>
      </c>
      <c r="C148" s="862"/>
      <c r="D148" s="867">
        <f>0.3*0.2</f>
        <v>0.06</v>
      </c>
      <c r="E148" s="867">
        <f>0.3*0.4</f>
        <v>0.12</v>
      </c>
    </row>
    <row r="149" spans="1:8" ht="13.5" thickBot="1">
      <c r="B149" s="862" t="s">
        <v>4</v>
      </c>
      <c r="C149" s="862"/>
      <c r="D149" s="868">
        <f>SUM(D146:D148)</f>
        <v>1</v>
      </c>
      <c r="E149" s="868">
        <f>SUM(E146:E148)</f>
        <v>0.99999999999999989</v>
      </c>
      <c r="H149" s="317"/>
    </row>
    <row r="152" spans="1:8">
      <c r="B152" t="s">
        <v>887</v>
      </c>
    </row>
    <row r="153" spans="1:8">
      <c r="B153" s="860" t="s">
        <v>755</v>
      </c>
      <c r="C153" s="861"/>
      <c r="D153" s="862"/>
      <c r="E153" s="862"/>
    </row>
    <row r="154" spans="1:8">
      <c r="A154"/>
      <c r="B154" s="862"/>
      <c r="C154" s="861"/>
      <c r="D154" s="861" t="s">
        <v>382</v>
      </c>
      <c r="E154" s="861" t="s">
        <v>684</v>
      </c>
    </row>
    <row r="155" spans="1:8">
      <c r="A155"/>
      <c r="B155" s="862" t="s">
        <v>512</v>
      </c>
      <c r="C155" s="862"/>
      <c r="D155" s="863">
        <v>570</v>
      </c>
      <c r="E155" s="864">
        <v>177608</v>
      </c>
    </row>
    <row r="156" spans="1:8">
      <c r="A156"/>
      <c r="B156" s="862" t="s">
        <v>754</v>
      </c>
      <c r="C156" s="862"/>
      <c r="D156" s="863">
        <f>Consol!J34</f>
        <v>-478.03528070648446</v>
      </c>
      <c r="E156" s="864"/>
    </row>
    <row r="157" spans="1:8">
      <c r="A157"/>
      <c r="B157" s="862" t="s">
        <v>756</v>
      </c>
      <c r="C157" s="862"/>
      <c r="D157" s="863">
        <f>Consol!J7+Consol!J19</f>
        <v>-110.65927810650874</v>
      </c>
      <c r="E157" s="862"/>
    </row>
    <row r="158" spans="1:8">
      <c r="A158"/>
      <c r="B158" s="862" t="s">
        <v>775</v>
      </c>
      <c r="C158" s="862"/>
      <c r="D158" s="863">
        <f>Consol!J13+Consol!J12+Consol!J20</f>
        <v>-147.61802201183428</v>
      </c>
      <c r="E158" s="862"/>
    </row>
    <row r="159" spans="1:8">
      <c r="A159"/>
      <c r="B159" s="862" t="s">
        <v>757</v>
      </c>
      <c r="C159" s="862"/>
      <c r="D159" s="863">
        <f>Consol!J33</f>
        <v>-93.728284023668635</v>
      </c>
      <c r="E159" s="862"/>
    </row>
    <row r="160" spans="1:8">
      <c r="A160"/>
      <c r="B160" s="862" t="s">
        <v>758</v>
      </c>
      <c r="C160" s="862"/>
      <c r="D160" s="863">
        <f>Consol!J9+Consol!J8</f>
        <v>153.29712284023668</v>
      </c>
      <c r="E160" s="862"/>
    </row>
    <row r="161" spans="1:6">
      <c r="A161"/>
      <c r="B161" s="862" t="s">
        <v>759</v>
      </c>
      <c r="C161" s="862"/>
      <c r="D161" s="863">
        <f>Consol!J24</f>
        <v>266.33768209704169</v>
      </c>
      <c r="E161" s="862"/>
    </row>
    <row r="162" spans="1:6">
      <c r="A162"/>
      <c r="B162" s="862" t="s">
        <v>760</v>
      </c>
      <c r="C162" s="862"/>
      <c r="D162" s="863">
        <f>Consol!J32</f>
        <v>97.772197379543741</v>
      </c>
      <c r="E162" s="862"/>
    </row>
    <row r="163" spans="1:6">
      <c r="A163"/>
      <c r="B163" s="862" t="s">
        <v>750</v>
      </c>
      <c r="C163" s="862"/>
      <c r="D163" s="863">
        <f>D164-SUM(D155:D162)</f>
        <v>-87.706137468326062</v>
      </c>
      <c r="E163" s="862"/>
    </row>
    <row r="164" spans="1:6">
      <c r="A164"/>
      <c r="B164" s="862" t="s">
        <v>676</v>
      </c>
      <c r="C164" s="862"/>
      <c r="D164" s="865">
        <f>Consol!H35</f>
        <v>169.65999999999997</v>
      </c>
      <c r="E164" s="864">
        <f>Consol!H37</f>
        <v>58707.827144644471</v>
      </c>
    </row>
    <row r="165" spans="1:6">
      <c r="A165"/>
      <c r="D165" s="753"/>
      <c r="E165" s="321"/>
    </row>
    <row r="166" spans="1:6">
      <c r="A166"/>
      <c r="D166" s="318" t="s">
        <v>677</v>
      </c>
      <c r="E166" s="318" t="s">
        <v>693</v>
      </c>
      <c r="F166" s="318" t="s">
        <v>694</v>
      </c>
    </row>
    <row r="167" spans="1:6">
      <c r="A167" s="301" t="s">
        <v>691</v>
      </c>
      <c r="D167" s="318" t="s">
        <v>384</v>
      </c>
      <c r="E167" s="318" t="s">
        <v>384</v>
      </c>
      <c r="F167" s="318" t="s">
        <v>384</v>
      </c>
    </row>
    <row r="168" spans="1:6">
      <c r="A168"/>
      <c r="B168" t="s">
        <v>685</v>
      </c>
      <c r="D168" s="317">
        <f>Consol!C7</f>
        <v>394.75920844285758</v>
      </c>
      <c r="E168" s="368">
        <f>Consol!C8</f>
        <v>101.50951074244894</v>
      </c>
      <c r="F168" s="317">
        <f>Consol!C9</f>
        <v>67.673007161632697</v>
      </c>
    </row>
    <row r="169" spans="1:6">
      <c r="A169"/>
      <c r="B169" t="s">
        <v>686</v>
      </c>
      <c r="D169">
        <v>395</v>
      </c>
      <c r="E169" s="368">
        <f>E168/0.6*0.8</f>
        <v>135.34601432326528</v>
      </c>
      <c r="F169" s="317">
        <f>Consol!C10*0.3*0.2</f>
        <v>33.836503580816348</v>
      </c>
    </row>
    <row r="170" spans="1:6">
      <c r="A170"/>
      <c r="B170" t="s">
        <v>695</v>
      </c>
      <c r="E170" s="691">
        <f>E168-E169</f>
        <v>-33.836503580816341</v>
      </c>
      <c r="F170" s="691">
        <f>F168-F169</f>
        <v>33.836503580816348</v>
      </c>
    </row>
    <row r="171" spans="1:6">
      <c r="A171"/>
      <c r="E171" s="318" t="s">
        <v>382</v>
      </c>
    </row>
    <row r="172" spans="1:6">
      <c r="A172"/>
      <c r="B172" t="s">
        <v>687</v>
      </c>
      <c r="E172" s="690">
        <f>Consol!L29</f>
        <v>4.9386379299172329</v>
      </c>
    </row>
    <row r="173" spans="1:6">
      <c r="A173"/>
      <c r="B173" t="s">
        <v>688</v>
      </c>
      <c r="E173" s="690">
        <f>Consol!M29</f>
        <v>0.20702719175403761</v>
      </c>
    </row>
    <row r="174" spans="1:6">
      <c r="A174"/>
      <c r="B174" t="s">
        <v>689</v>
      </c>
      <c r="E174" s="692">
        <f>E172-E173</f>
        <v>4.7316107381631953</v>
      </c>
    </row>
    <row r="175" spans="1:6">
      <c r="A175"/>
    </row>
    <row r="176" spans="1:6">
      <c r="A176"/>
      <c r="B176" t="s">
        <v>690</v>
      </c>
      <c r="E176" s="317">
        <f>-E174*E170</f>
        <v>160.10116368488801</v>
      </c>
      <c r="F176" t="s">
        <v>867</v>
      </c>
    </row>
    <row r="177" spans="1:5">
      <c r="A177"/>
    </row>
    <row r="180" spans="1:5">
      <c r="A180" s="301" t="s">
        <v>761</v>
      </c>
    </row>
    <row r="181" spans="1:5">
      <c r="C181" s="318" t="s">
        <v>512</v>
      </c>
      <c r="D181" s="318" t="s">
        <v>676</v>
      </c>
      <c r="E181" s="318" t="s">
        <v>764</v>
      </c>
    </row>
    <row r="182" spans="1:5">
      <c r="B182" t="s">
        <v>762</v>
      </c>
      <c r="C182">
        <v>3504</v>
      </c>
      <c r="D182">
        <f>Consol!F7</f>
        <v>3598</v>
      </c>
      <c r="E182" s="355">
        <f>D182/C182-1</f>
        <v>2.6826484018264818E-2</v>
      </c>
    </row>
    <row r="183" spans="1:5">
      <c r="B183" t="s">
        <v>763</v>
      </c>
      <c r="C183">
        <v>1167</v>
      </c>
      <c r="D183">
        <f>Consol!F19</f>
        <v>1293</v>
      </c>
      <c r="E183" s="355">
        <f>D183/C183-1</f>
        <v>0.10796915167095111</v>
      </c>
    </row>
    <row r="187" spans="1:5">
      <c r="A187" s="301" t="s">
        <v>765</v>
      </c>
      <c r="C187" s="143" t="s">
        <v>512</v>
      </c>
      <c r="D187" s="143" t="s">
        <v>676</v>
      </c>
      <c r="E187" s="318"/>
    </row>
    <row r="188" spans="1:5">
      <c r="C188" s="143" t="s">
        <v>384</v>
      </c>
      <c r="D188" s="143" t="s">
        <v>384</v>
      </c>
    </row>
    <row r="189" spans="1:5">
      <c r="B189" t="s">
        <v>766</v>
      </c>
      <c r="C189" s="755">
        <v>7</v>
      </c>
      <c r="D189" s="755">
        <v>25.73999999999997</v>
      </c>
      <c r="E189" s="508" t="s">
        <v>50</v>
      </c>
    </row>
    <row r="190" spans="1:5">
      <c r="B190" t="s">
        <v>773</v>
      </c>
      <c r="C190" s="755">
        <v>33</v>
      </c>
      <c r="D190" s="755">
        <v>25.73999999999997</v>
      </c>
      <c r="E190" s="509" t="s">
        <v>49</v>
      </c>
    </row>
    <row r="191" spans="1:5">
      <c r="B191" t="s">
        <v>774</v>
      </c>
      <c r="C191" s="755">
        <v>46</v>
      </c>
      <c r="D191" s="755">
        <v>19.96</v>
      </c>
      <c r="E191" s="508" t="s">
        <v>516</v>
      </c>
    </row>
    <row r="192" spans="1:5">
      <c r="C192" s="755"/>
      <c r="D192" s="755"/>
      <c r="E192" s="508"/>
    </row>
    <row r="193" spans="2:5">
      <c r="C193" t="s">
        <v>771</v>
      </c>
      <c r="D193" t="s">
        <v>771</v>
      </c>
    </row>
    <row r="194" spans="2:5">
      <c r="B194" t="s">
        <v>767</v>
      </c>
      <c r="C194" s="746">
        <f t="shared" ref="C194:D196" si="1">C199/C189</f>
        <v>0</v>
      </c>
      <c r="D194" s="746">
        <f t="shared" si="1"/>
        <v>0</v>
      </c>
    </row>
    <row r="195" spans="2:5">
      <c r="B195" t="s">
        <v>768</v>
      </c>
      <c r="C195" s="746">
        <f t="shared" si="1"/>
        <v>0.54545454545454541</v>
      </c>
      <c r="D195" s="746">
        <f t="shared" si="1"/>
        <v>0.4280155642023355</v>
      </c>
    </row>
    <row r="196" spans="2:5">
      <c r="B196" t="s">
        <v>769</v>
      </c>
      <c r="C196" s="746">
        <f t="shared" si="1"/>
        <v>4.0434782608695654</v>
      </c>
      <c r="D196" s="746">
        <f t="shared" si="1"/>
        <v>3.969849246231155</v>
      </c>
    </row>
    <row r="197" spans="2:5">
      <c r="C197" s="746"/>
      <c r="D197" s="746"/>
    </row>
    <row r="198" spans="2:5">
      <c r="C198" s="318" t="s">
        <v>772</v>
      </c>
      <c r="D198" s="318" t="s">
        <v>772</v>
      </c>
    </row>
    <row r="199" spans="2:5">
      <c r="B199" t="s">
        <v>767</v>
      </c>
      <c r="C199">
        <v>0</v>
      </c>
      <c r="D199" s="317">
        <f>'6. Baseline Appraisal'!D26</f>
        <v>0</v>
      </c>
    </row>
    <row r="200" spans="2:5">
      <c r="B200" t="s">
        <v>768</v>
      </c>
      <c r="C200">
        <v>18</v>
      </c>
      <c r="D200" s="317">
        <f>'6. Baseline Appraisal'!D27</f>
        <v>11.017120622568102</v>
      </c>
    </row>
    <row r="201" spans="2:5">
      <c r="B201" t="s">
        <v>769</v>
      </c>
      <c r="C201">
        <v>186</v>
      </c>
      <c r="D201" s="317">
        <f>'6. Baseline Appraisal'!D28</f>
        <v>79.238190954773856</v>
      </c>
    </row>
    <row r="202" spans="2:5" ht="13.5" thickBot="1">
      <c r="B202" t="s">
        <v>770</v>
      </c>
      <c r="C202" s="754">
        <f>SUM(C199:C201)</f>
        <v>204</v>
      </c>
      <c r="D202" s="322">
        <f>SUM(D199:D201)</f>
        <v>90.255311577341956</v>
      </c>
      <c r="E202" s="317">
        <f>C202*21000/23660-D202</f>
        <v>90.809777180054482</v>
      </c>
    </row>
    <row r="203" spans="2:5" ht="13.5" thickTop="1"/>
    <row r="206" spans="2:5">
      <c r="B206" t="s">
        <v>864</v>
      </c>
    </row>
    <row r="207" spans="2:5">
      <c r="B207" s="834" t="s">
        <v>780</v>
      </c>
      <c r="C207" s="835"/>
      <c r="D207" s="835"/>
      <c r="E207" s="835"/>
    </row>
    <row r="208" spans="2:5">
      <c r="B208" s="835"/>
      <c r="C208" s="836" t="s">
        <v>436</v>
      </c>
      <c r="D208" s="836" t="s">
        <v>781</v>
      </c>
      <c r="E208" s="836" t="s">
        <v>437</v>
      </c>
    </row>
    <row r="209" spans="1:6">
      <c r="B209" s="835"/>
      <c r="C209" s="836" t="s">
        <v>779</v>
      </c>
      <c r="D209" s="836" t="s">
        <v>779</v>
      </c>
      <c r="E209" s="836" t="s">
        <v>779</v>
      </c>
    </row>
    <row r="210" spans="1:6">
      <c r="B210" s="835" t="s">
        <v>517</v>
      </c>
      <c r="C210" s="835">
        <v>77946</v>
      </c>
      <c r="D210" s="835">
        <v>77946</v>
      </c>
      <c r="E210" s="835">
        <v>645049</v>
      </c>
    </row>
    <row r="211" spans="1:6">
      <c r="B211" s="835" t="s">
        <v>518</v>
      </c>
      <c r="C211" s="835">
        <v>-190000</v>
      </c>
      <c r="D211" s="835">
        <v>58702</v>
      </c>
      <c r="E211" s="835">
        <v>500926</v>
      </c>
    </row>
    <row r="212" spans="1:6">
      <c r="B212" s="835" t="s">
        <v>524</v>
      </c>
      <c r="C212" s="835">
        <v>14529</v>
      </c>
      <c r="D212" s="835">
        <v>189411</v>
      </c>
      <c r="E212" s="835">
        <v>290949</v>
      </c>
    </row>
    <row r="215" spans="1:6">
      <c r="B215" s="835" t="s">
        <v>878</v>
      </c>
    </row>
    <row r="216" spans="1:6">
      <c r="B216" s="834" t="s">
        <v>782</v>
      </c>
      <c r="C216" s="835"/>
      <c r="D216" s="835"/>
      <c r="E216" s="835"/>
      <c r="F216" s="835"/>
    </row>
    <row r="217" spans="1:6" ht="36">
      <c r="B217" s="835"/>
      <c r="C217" s="855" t="s">
        <v>786</v>
      </c>
      <c r="D217" s="855" t="s">
        <v>838</v>
      </c>
      <c r="E217" s="855" t="s">
        <v>836</v>
      </c>
      <c r="F217" s="855" t="s">
        <v>837</v>
      </c>
    </row>
    <row r="218" spans="1:6">
      <c r="B218" s="835"/>
      <c r="C218" s="835"/>
      <c r="D218" s="835"/>
      <c r="E218" s="835"/>
      <c r="F218" s="835"/>
    </row>
    <row r="219" spans="1:6">
      <c r="B219" s="835" t="s">
        <v>783</v>
      </c>
      <c r="C219" s="845">
        <v>0.5</v>
      </c>
      <c r="D219" s="845">
        <v>0.02</v>
      </c>
      <c r="E219" s="845">
        <v>0.02</v>
      </c>
      <c r="F219" s="845">
        <v>0.06</v>
      </c>
    </row>
    <row r="220" spans="1:6">
      <c r="B220" s="835" t="s">
        <v>784</v>
      </c>
      <c r="C220" s="845">
        <v>0.5</v>
      </c>
      <c r="D220" s="845">
        <v>0.1</v>
      </c>
      <c r="E220" s="845">
        <v>0.14000000000000001</v>
      </c>
      <c r="F220" s="845">
        <v>0.18</v>
      </c>
    </row>
    <row r="221" spans="1:6">
      <c r="B221" s="835" t="s">
        <v>785</v>
      </c>
      <c r="C221" s="856">
        <f>SUM(C219:C220)</f>
        <v>1</v>
      </c>
      <c r="D221" s="857">
        <f>SUMPRODUCT(D219:D220,$C219:$C220)</f>
        <v>6.0000000000000005E-2</v>
      </c>
      <c r="E221" s="857">
        <f>SUMPRODUCT(E219:E220,$C219:$C220)</f>
        <v>0.08</v>
      </c>
      <c r="F221" s="857">
        <f>SUMPRODUCT(F219:F220,$C219:$C220)</f>
        <v>0.12</v>
      </c>
    </row>
    <row r="223" spans="1:6">
      <c r="A223" s="194" t="s">
        <v>876</v>
      </c>
    </row>
    <row r="224" spans="1:6">
      <c r="B224" s="834" t="s">
        <v>792</v>
      </c>
      <c r="C224" s="835"/>
      <c r="D224" s="835"/>
      <c r="E224" s="835"/>
      <c r="F224" s="835"/>
    </row>
    <row r="225" spans="1:6">
      <c r="B225" s="835"/>
      <c r="C225" s="836" t="s">
        <v>517</v>
      </c>
      <c r="D225" s="836" t="s">
        <v>518</v>
      </c>
      <c r="E225" s="836" t="s">
        <v>524</v>
      </c>
      <c r="F225" s="835"/>
    </row>
    <row r="226" spans="1:6">
      <c r="B226" s="835"/>
      <c r="C226" s="836" t="s">
        <v>382</v>
      </c>
      <c r="D226" s="836" t="s">
        <v>382</v>
      </c>
      <c r="E226" s="836" t="s">
        <v>382</v>
      </c>
      <c r="F226" s="835"/>
    </row>
    <row r="227" spans="1:6">
      <c r="B227" s="835" t="s">
        <v>790</v>
      </c>
      <c r="C227" s="835">
        <v>552</v>
      </c>
      <c r="D227" s="835">
        <v>762</v>
      </c>
      <c r="E227" s="835">
        <v>319</v>
      </c>
      <c r="F227" s="835"/>
    </row>
    <row r="228" spans="1:6">
      <c r="B228" s="835" t="s">
        <v>787</v>
      </c>
      <c r="C228" s="835">
        <v>-132</v>
      </c>
      <c r="D228" s="835">
        <v>-170</v>
      </c>
      <c r="E228" s="835">
        <v>-199</v>
      </c>
      <c r="F228" s="835"/>
    </row>
    <row r="229" spans="1:6">
      <c r="B229" s="835" t="s">
        <v>788</v>
      </c>
      <c r="C229" s="835">
        <v>87</v>
      </c>
      <c r="D229" s="835">
        <v>129</v>
      </c>
      <c r="E229" s="835">
        <v>44</v>
      </c>
      <c r="F229" s="852" t="s">
        <v>791</v>
      </c>
    </row>
    <row r="230" spans="1:6">
      <c r="B230" s="835" t="s">
        <v>789</v>
      </c>
      <c r="C230" s="853">
        <f>SUM(C227:C229)</f>
        <v>507</v>
      </c>
      <c r="D230" s="853">
        <f>SUM(D227:D229)</f>
        <v>721</v>
      </c>
      <c r="E230" s="853">
        <f>SUM(E227:E229)</f>
        <v>164</v>
      </c>
      <c r="F230" s="835"/>
    </row>
    <row r="231" spans="1:6">
      <c r="B231" s="835"/>
      <c r="C231" s="835"/>
      <c r="D231" s="835"/>
      <c r="E231" s="835"/>
      <c r="F231" s="835"/>
    </row>
    <row r="232" spans="1:6">
      <c r="B232" s="835" t="s">
        <v>877</v>
      </c>
      <c r="C232" s="854">
        <v>0.08</v>
      </c>
      <c r="D232" s="854">
        <v>8.6999999999999994E-2</v>
      </c>
      <c r="E232" s="854">
        <v>0.09</v>
      </c>
      <c r="F232" s="835"/>
    </row>
    <row r="233" spans="1:6">
      <c r="B233" s="835"/>
      <c r="C233" s="835"/>
      <c r="D233" s="835"/>
      <c r="E233" s="835"/>
      <c r="F233" s="835"/>
    </row>
    <row r="234" spans="1:6">
      <c r="B234" s="835" t="s">
        <v>793</v>
      </c>
      <c r="C234" s="838">
        <f>C229/C230</f>
        <v>0.17159763313609466</v>
      </c>
      <c r="D234" s="838">
        <f>D229/D230</f>
        <v>0.17891816920943135</v>
      </c>
      <c r="E234" s="838">
        <f>E229/E230</f>
        <v>0.26829268292682928</v>
      </c>
      <c r="F234" s="835"/>
    </row>
    <row r="235" spans="1:6">
      <c r="C235" s="759"/>
    </row>
    <row r="238" spans="1:6">
      <c r="A238" s="301" t="s">
        <v>794</v>
      </c>
    </row>
    <row r="239" spans="1:6">
      <c r="C239" s="318" t="s">
        <v>517</v>
      </c>
      <c r="D239" s="318" t="s">
        <v>518</v>
      </c>
      <c r="E239" s="318" t="s">
        <v>524</v>
      </c>
    </row>
    <row r="240" spans="1:6">
      <c r="B240" s="761" t="s">
        <v>800</v>
      </c>
      <c r="C240" s="318" t="s">
        <v>382</v>
      </c>
      <c r="D240" s="318" t="s">
        <v>382</v>
      </c>
      <c r="E240" s="318" t="s">
        <v>382</v>
      </c>
    </row>
    <row r="241" spans="1:7">
      <c r="B241" t="s">
        <v>795</v>
      </c>
      <c r="C241">
        <v>16.899999999999999</v>
      </c>
      <c r="D241">
        <v>26.6</v>
      </c>
      <c r="E241">
        <v>10.6</v>
      </c>
    </row>
    <row r="242" spans="1:7">
      <c r="B242" t="s">
        <v>796</v>
      </c>
      <c r="C242">
        <v>64.2</v>
      </c>
      <c r="D242">
        <v>24.4</v>
      </c>
      <c r="E242">
        <v>38.1</v>
      </c>
    </row>
    <row r="243" spans="1:7">
      <c r="B243" t="s">
        <v>799</v>
      </c>
      <c r="C243" s="316">
        <v>6</v>
      </c>
      <c r="D243" s="316">
        <v>6</v>
      </c>
      <c r="E243" s="316">
        <v>6</v>
      </c>
    </row>
    <row r="244" spans="1:7">
      <c r="B244" t="s">
        <v>798</v>
      </c>
      <c r="C244" s="693">
        <f>SUM(C241:C243)</f>
        <v>87.1</v>
      </c>
      <c r="D244" s="760">
        <f>SUM(D241:D243)</f>
        <v>57</v>
      </c>
      <c r="E244" s="693">
        <f>SUM(E241:E243)</f>
        <v>54.7</v>
      </c>
    </row>
    <row r="246" spans="1:7">
      <c r="B246" s="761" t="s">
        <v>797</v>
      </c>
      <c r="C246">
        <v>87.1</v>
      </c>
      <c r="D246">
        <v>58.9</v>
      </c>
      <c r="E246">
        <v>46.8</v>
      </c>
    </row>
    <row r="248" spans="1:7">
      <c r="B248" t="s">
        <v>689</v>
      </c>
      <c r="C248">
        <f>C246-C244</f>
        <v>0</v>
      </c>
      <c r="D248">
        <f>D246-D244</f>
        <v>1.8999999999999986</v>
      </c>
      <c r="E248">
        <f>E246-E244</f>
        <v>-7.9000000000000057</v>
      </c>
    </row>
    <row r="250" spans="1:7">
      <c r="A250" s="194" t="s">
        <v>875</v>
      </c>
    </row>
    <row r="251" spans="1:7">
      <c r="A251" s="834" t="s">
        <v>567</v>
      </c>
      <c r="B251" s="835"/>
      <c r="C251" s="835"/>
      <c r="D251" s="835" t="s">
        <v>4</v>
      </c>
      <c r="E251" s="836" t="s">
        <v>517</v>
      </c>
      <c r="F251" s="836" t="s">
        <v>518</v>
      </c>
      <c r="G251" s="836" t="s">
        <v>524</v>
      </c>
    </row>
    <row r="252" spans="1:7">
      <c r="A252" s="834"/>
      <c r="B252" s="835"/>
      <c r="C252" s="835"/>
      <c r="D252" s="836" t="s">
        <v>382</v>
      </c>
      <c r="E252" s="836" t="s">
        <v>382</v>
      </c>
      <c r="F252" s="836" t="s">
        <v>382</v>
      </c>
      <c r="G252" s="836" t="s">
        <v>382</v>
      </c>
    </row>
    <row r="253" spans="1:7">
      <c r="A253" s="834"/>
      <c r="B253" s="835" t="s">
        <v>806</v>
      </c>
      <c r="C253" s="835"/>
      <c r="D253" s="851">
        <f>SUM(E253:G253)</f>
        <v>9</v>
      </c>
      <c r="E253" s="851">
        <v>3</v>
      </c>
      <c r="F253" s="835">
        <v>4.2</v>
      </c>
      <c r="G253" s="835">
        <v>1.8</v>
      </c>
    </row>
    <row r="254" spans="1:7">
      <c r="A254" s="834"/>
      <c r="B254" s="835" t="s">
        <v>807</v>
      </c>
      <c r="C254" s="835"/>
      <c r="D254" s="835"/>
      <c r="E254" s="836" t="s">
        <v>808</v>
      </c>
      <c r="F254" s="836" t="s">
        <v>809</v>
      </c>
      <c r="G254" s="836" t="s">
        <v>808</v>
      </c>
    </row>
    <row r="256" spans="1:7">
      <c r="A256" s="301" t="s">
        <v>810</v>
      </c>
    </row>
    <row r="257" spans="2:9">
      <c r="E257" s="318" t="s">
        <v>881</v>
      </c>
      <c r="F257" s="318" t="s">
        <v>882</v>
      </c>
      <c r="G257" s="318" t="s">
        <v>883</v>
      </c>
      <c r="H257" s="318" t="s">
        <v>884</v>
      </c>
      <c r="I257" s="318" t="s">
        <v>885</v>
      </c>
    </row>
    <row r="258" spans="2:9">
      <c r="D258" s="318" t="s">
        <v>382</v>
      </c>
      <c r="E258" s="859" t="s">
        <v>886</v>
      </c>
      <c r="F258" s="859" t="s">
        <v>886</v>
      </c>
      <c r="G258" s="859" t="s">
        <v>886</v>
      </c>
      <c r="H258" s="859" t="s">
        <v>886</v>
      </c>
      <c r="I258" s="859" t="s">
        <v>886</v>
      </c>
    </row>
    <row r="259" spans="2:9">
      <c r="B259" s="762" t="s">
        <v>811</v>
      </c>
      <c r="D259" s="746">
        <v>1</v>
      </c>
      <c r="E259">
        <v>250</v>
      </c>
      <c r="F259">
        <v>250</v>
      </c>
      <c r="G259">
        <v>250</v>
      </c>
      <c r="H259">
        <v>250</v>
      </c>
    </row>
    <row r="260" spans="2:9">
      <c r="B260" t="s">
        <v>812</v>
      </c>
      <c r="D260" s="746">
        <v>1</v>
      </c>
      <c r="E260">
        <v>250</v>
      </c>
      <c r="F260">
        <v>250</v>
      </c>
      <c r="G260">
        <v>250</v>
      </c>
      <c r="H260">
        <v>250</v>
      </c>
    </row>
    <row r="261" spans="2:9">
      <c r="B261" t="s">
        <v>813</v>
      </c>
      <c r="D261" s="746">
        <v>0.4</v>
      </c>
      <c r="E261">
        <v>100</v>
      </c>
      <c r="F261">
        <v>100</v>
      </c>
      <c r="G261">
        <v>100</v>
      </c>
      <c r="H261">
        <v>100</v>
      </c>
    </row>
    <row r="262" spans="2:9">
      <c r="B262" t="s">
        <v>814</v>
      </c>
      <c r="D262" s="746">
        <v>3.2130000000000001</v>
      </c>
      <c r="I262">
        <v>3213</v>
      </c>
    </row>
    <row r="263" spans="2:9">
      <c r="B263" s="762" t="s">
        <v>815</v>
      </c>
      <c r="D263" s="746">
        <v>1.4</v>
      </c>
      <c r="E263">
        <v>350</v>
      </c>
      <c r="F263">
        <v>350</v>
      </c>
      <c r="G263">
        <v>350</v>
      </c>
      <c r="H263">
        <v>350</v>
      </c>
    </row>
    <row r="264" spans="2:9">
      <c r="B264" t="s">
        <v>816</v>
      </c>
      <c r="D264" s="746">
        <v>0.6</v>
      </c>
      <c r="I264">
        <v>600</v>
      </c>
    </row>
    <row r="265" spans="2:9">
      <c r="D265" s="746"/>
    </row>
    <row r="266" spans="2:9">
      <c r="B266" t="s">
        <v>817</v>
      </c>
      <c r="D266" s="763">
        <f>SUM(D259:D265)</f>
        <v>7.6129999999999995</v>
      </c>
      <c r="E266" s="747">
        <f>SUM(E259:E265)</f>
        <v>950</v>
      </c>
      <c r="F266" s="747">
        <f t="shared" ref="F266:I266" si="2">SUM(F259:F265)</f>
        <v>950</v>
      </c>
      <c r="G266" s="747">
        <f t="shared" si="2"/>
        <v>950</v>
      </c>
      <c r="H266" s="747">
        <f t="shared" si="2"/>
        <v>950</v>
      </c>
      <c r="I266" s="747">
        <f t="shared" si="2"/>
        <v>3813</v>
      </c>
    </row>
    <row r="268" spans="2:9" ht="13.5" thickBot="1"/>
    <row r="269" spans="2:9" ht="90" thickBot="1">
      <c r="B269" s="813" t="s">
        <v>71</v>
      </c>
      <c r="C269" s="814" t="s">
        <v>844</v>
      </c>
      <c r="D269" s="814" t="s">
        <v>845</v>
      </c>
    </row>
    <row r="270" spans="2:9" ht="13.5" thickBot="1">
      <c r="B270" s="815" t="s">
        <v>846</v>
      </c>
      <c r="C270" s="816">
        <v>395</v>
      </c>
      <c r="D270" s="816">
        <v>4.9000000000000004</v>
      </c>
    </row>
    <row r="271" spans="2:9" ht="13.5" thickBot="1">
      <c r="B271" s="815" t="s">
        <v>847</v>
      </c>
      <c r="C271" s="816">
        <v>102</v>
      </c>
      <c r="D271" s="816">
        <v>0.2</v>
      </c>
    </row>
    <row r="272" spans="2:9" ht="13.5" thickBot="1">
      <c r="B272" s="815" t="s">
        <v>848</v>
      </c>
      <c r="C272" s="816">
        <v>68</v>
      </c>
      <c r="D272" s="816">
        <v>2.9</v>
      </c>
    </row>
    <row r="273" spans="2:4" ht="13.5" thickBot="1">
      <c r="B273" s="815" t="s">
        <v>849</v>
      </c>
      <c r="C273" s="816">
        <v>26</v>
      </c>
      <c r="D273" s="816">
        <v>0</v>
      </c>
    </row>
    <row r="274" spans="2:4" ht="13.5" thickBot="1">
      <c r="B274" s="815" t="s">
        <v>850</v>
      </c>
      <c r="C274" s="816">
        <v>26</v>
      </c>
      <c r="D274" s="816">
        <v>0.4</v>
      </c>
    </row>
    <row r="275" spans="2:4" ht="13.5" thickBot="1">
      <c r="B275" s="815" t="s">
        <v>851</v>
      </c>
      <c r="C275" s="816">
        <v>20</v>
      </c>
      <c r="D275" s="816">
        <v>4</v>
      </c>
    </row>
    <row r="276" spans="2:4" ht="13.5" thickBot="1">
      <c r="B276" s="815" t="s">
        <v>785</v>
      </c>
      <c r="C276" s="816">
        <f>SUM(C270:C275)</f>
        <v>637</v>
      </c>
      <c r="D276" s="817">
        <f>SUMPRODUCT(D270:D275,C270:C275)/C276</f>
        <v>3.5219780219780228</v>
      </c>
    </row>
  </sheetData>
  <pageMargins left="0.7" right="0.7" top="0.75" bottom="0.75" header="0.3" footer="0.3"/>
  <pageSetup paperSize="9" scale="28" orientation="landscape" horizontalDpi="0" verticalDpi="0" copies="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53"/>
  <sheetViews>
    <sheetView zoomScale="110" zoomScaleNormal="110" workbookViewId="0">
      <selection activeCell="F6" sqref="F6"/>
    </sheetView>
  </sheetViews>
  <sheetFormatPr defaultColWidth="11.42578125" defaultRowHeight="12.75"/>
  <cols>
    <col min="1" max="1" width="3.140625" customWidth="1"/>
    <col min="2" max="2" width="20.28515625" customWidth="1"/>
    <col min="3" max="3" width="28.85546875" customWidth="1"/>
  </cols>
  <sheetData>
    <row r="1" spans="1:10" ht="18">
      <c r="A1" s="707" t="s">
        <v>914</v>
      </c>
    </row>
    <row r="2" spans="1:10" ht="18">
      <c r="B2" s="707"/>
    </row>
    <row r="3" spans="1:10">
      <c r="B3" t="s">
        <v>912</v>
      </c>
    </row>
    <row r="4" spans="1:10">
      <c r="A4" s="678"/>
      <c r="B4" s="860" t="s">
        <v>891</v>
      </c>
      <c r="C4" s="862"/>
      <c r="D4" s="862"/>
      <c r="E4" s="862"/>
    </row>
    <row r="5" spans="1:10" ht="38.25">
      <c r="A5" s="678"/>
      <c r="B5" s="862"/>
      <c r="C5" s="862"/>
      <c r="D5" s="869" t="s">
        <v>892</v>
      </c>
      <c r="E5" s="869" t="s">
        <v>893</v>
      </c>
      <c r="F5" s="367" t="s">
        <v>892</v>
      </c>
      <c r="G5" s="367" t="s">
        <v>893</v>
      </c>
    </row>
    <row r="6" spans="1:10">
      <c r="A6" s="678"/>
      <c r="B6" s="862" t="s">
        <v>824</v>
      </c>
      <c r="C6" s="862"/>
      <c r="D6" s="862">
        <f>F6</f>
        <v>500912</v>
      </c>
      <c r="E6" s="862">
        <v>58702</v>
      </c>
      <c r="F6">
        <v>500912</v>
      </c>
      <c r="I6" t="s">
        <v>894</v>
      </c>
      <c r="J6" s="317"/>
    </row>
    <row r="7" spans="1:10">
      <c r="A7" s="678"/>
      <c r="B7" s="862" t="s">
        <v>895</v>
      </c>
      <c r="C7" s="862"/>
      <c r="D7" s="862">
        <f>F7-F6</f>
        <v>-422446</v>
      </c>
      <c r="E7" s="862"/>
      <c r="F7">
        <v>78466</v>
      </c>
      <c r="J7" s="317"/>
    </row>
    <row r="8" spans="1:10">
      <c r="A8" s="678"/>
      <c r="B8" s="862" t="s">
        <v>896</v>
      </c>
      <c r="C8" s="862"/>
      <c r="D8" s="862">
        <f>F8-F7</f>
        <v>-33117</v>
      </c>
      <c r="E8" s="862"/>
      <c r="F8">
        <v>45349</v>
      </c>
      <c r="H8" s="355"/>
      <c r="I8" t="s">
        <v>897</v>
      </c>
    </row>
    <row r="9" spans="1:10">
      <c r="A9" s="678"/>
      <c r="B9" s="862" t="s">
        <v>898</v>
      </c>
      <c r="C9" s="862"/>
      <c r="D9" s="862">
        <f>F9-F8</f>
        <v>-68701</v>
      </c>
      <c r="E9" s="862"/>
      <c r="F9">
        <v>-23352</v>
      </c>
      <c r="H9" s="355"/>
      <c r="I9" t="s">
        <v>899</v>
      </c>
    </row>
    <row r="10" spans="1:10">
      <c r="A10" s="678"/>
      <c r="B10" s="862" t="s">
        <v>900</v>
      </c>
      <c r="C10" s="862"/>
      <c r="D10" s="862">
        <f>F10-F9</f>
        <v>37454</v>
      </c>
      <c r="E10" s="862"/>
      <c r="F10">
        <v>14102</v>
      </c>
      <c r="H10" s="355"/>
      <c r="I10" t="s">
        <v>901</v>
      </c>
    </row>
    <row r="11" spans="1:10">
      <c r="A11" s="678"/>
      <c r="B11" s="862" t="s">
        <v>902</v>
      </c>
      <c r="C11" s="862"/>
      <c r="D11" s="862">
        <f>F11-F10</f>
        <v>-3126</v>
      </c>
      <c r="E11" s="862"/>
      <c r="F11">
        <v>10976</v>
      </c>
      <c r="G11">
        <v>9335</v>
      </c>
      <c r="H11" s="355"/>
      <c r="I11" t="s">
        <v>903</v>
      </c>
    </row>
    <row r="12" spans="1:10" ht="13.5" thickBot="1">
      <c r="A12" s="678"/>
      <c r="B12" s="862" t="s">
        <v>904</v>
      </c>
      <c r="C12" s="862"/>
      <c r="D12" s="870">
        <f>SUM(D6:D11)</f>
        <v>10976</v>
      </c>
      <c r="E12" s="862">
        <f>G11</f>
        <v>9335</v>
      </c>
      <c r="H12" s="355"/>
    </row>
    <row r="13" spans="1:10" ht="13.5" thickTop="1">
      <c r="A13" s="678"/>
      <c r="B13" s="862"/>
      <c r="C13" s="862"/>
      <c r="D13" s="862"/>
      <c r="E13" s="862"/>
      <c r="H13" s="355"/>
    </row>
    <row r="14" spans="1:10">
      <c r="A14" s="678"/>
      <c r="B14" s="862" t="s">
        <v>826</v>
      </c>
      <c r="C14" s="862"/>
      <c r="D14" s="862">
        <f>F14-F11</f>
        <v>-10755</v>
      </c>
      <c r="E14" s="862"/>
      <c r="F14">
        <v>221</v>
      </c>
      <c r="G14">
        <v>-871</v>
      </c>
      <c r="H14" s="355"/>
    </row>
    <row r="15" spans="1:10">
      <c r="A15" s="678"/>
      <c r="B15" s="679"/>
      <c r="C15" s="679"/>
      <c r="D15" s="679"/>
      <c r="E15" s="679"/>
    </row>
    <row r="17" spans="1:4" ht="18">
      <c r="A17" s="707" t="s">
        <v>915</v>
      </c>
    </row>
    <row r="18" spans="1:4">
      <c r="A18" s="301"/>
      <c r="B18" t="s">
        <v>665</v>
      </c>
    </row>
    <row r="19" spans="1:4">
      <c r="A19" s="301"/>
      <c r="B19" t="s">
        <v>697</v>
      </c>
    </row>
    <row r="20" spans="1:4">
      <c r="A20" s="301"/>
      <c r="B20" t="s">
        <v>441</v>
      </c>
    </row>
    <row r="21" spans="1:4">
      <c r="A21" s="301"/>
      <c r="B21" t="s">
        <v>442</v>
      </c>
    </row>
    <row r="22" spans="1:4">
      <c r="A22" s="301"/>
      <c r="B22" t="s">
        <v>445</v>
      </c>
    </row>
    <row r="23" spans="1:4">
      <c r="A23" s="301"/>
      <c r="B23" t="s">
        <v>455</v>
      </c>
    </row>
    <row r="24" spans="1:4">
      <c r="A24" s="301"/>
    </row>
    <row r="25" spans="1:4">
      <c r="A25" s="301"/>
    </row>
    <row r="26" spans="1:4">
      <c r="A26" s="301"/>
      <c r="B26" t="s">
        <v>443</v>
      </c>
      <c r="C26" t="s">
        <v>444</v>
      </c>
      <c r="D26" t="s">
        <v>918</v>
      </c>
    </row>
    <row r="27" spans="1:4">
      <c r="A27" s="301"/>
      <c r="C27" t="s">
        <v>449</v>
      </c>
      <c r="D27" t="s">
        <v>446</v>
      </c>
    </row>
    <row r="28" spans="1:4">
      <c r="A28" s="301"/>
      <c r="C28" t="s">
        <v>450</v>
      </c>
      <c r="D28" t="s">
        <v>447</v>
      </c>
    </row>
    <row r="29" spans="1:4">
      <c r="A29" s="301"/>
      <c r="C29" t="s">
        <v>451</v>
      </c>
      <c r="D29" t="s">
        <v>916</v>
      </c>
    </row>
    <row r="30" spans="1:4">
      <c r="A30" s="301"/>
      <c r="C30" t="s">
        <v>452</v>
      </c>
      <c r="D30" t="s">
        <v>917</v>
      </c>
    </row>
    <row r="31" spans="1:4">
      <c r="A31" s="301"/>
      <c r="C31" t="s">
        <v>453</v>
      </c>
      <c r="D31" t="s">
        <v>448</v>
      </c>
    </row>
    <row r="32" spans="1:4">
      <c r="A32" s="301"/>
    </row>
    <row r="33" spans="1:5" ht="18">
      <c r="A33" s="707" t="s">
        <v>919</v>
      </c>
    </row>
    <row r="34" spans="1:5">
      <c r="A34" s="301"/>
      <c r="B34" t="s">
        <v>440</v>
      </c>
    </row>
    <row r="35" spans="1:5">
      <c r="A35" s="301"/>
      <c r="B35" t="s">
        <v>438</v>
      </c>
    </row>
    <row r="36" spans="1:5">
      <c r="A36" s="301"/>
      <c r="B36" t="s">
        <v>439</v>
      </c>
    </row>
    <row r="37" spans="1:5">
      <c r="A37" s="301"/>
      <c r="B37" t="s">
        <v>510</v>
      </c>
    </row>
    <row r="40" spans="1:5" ht="38.25">
      <c r="B40" t="s">
        <v>712</v>
      </c>
      <c r="C40" s="367" t="s">
        <v>716</v>
      </c>
      <c r="D40" s="367" t="s">
        <v>717</v>
      </c>
      <c r="E40" s="367" t="s">
        <v>718</v>
      </c>
    </row>
    <row r="41" spans="1:5">
      <c r="B41" s="342" t="s">
        <v>713</v>
      </c>
      <c r="C41">
        <v>359800</v>
      </c>
      <c r="D41" s="354">
        <f>1.02^80</f>
        <v>4.8754391560963874</v>
      </c>
      <c r="E41" s="353">
        <f>D41*C41</f>
        <v>1754183.0083634802</v>
      </c>
    </row>
    <row r="42" spans="1:5">
      <c r="B42" s="342" t="s">
        <v>714</v>
      </c>
      <c r="C42">
        <v>359800</v>
      </c>
      <c r="D42" s="354">
        <f>1.03^80</f>
        <v>10.640890556430181</v>
      </c>
      <c r="E42" s="353">
        <f>D42*C42</f>
        <v>3828592.422203579</v>
      </c>
    </row>
    <row r="43" spans="1:5">
      <c r="B43" s="342" t="s">
        <v>715</v>
      </c>
      <c r="C43">
        <v>359800</v>
      </c>
      <c r="D43" s="354">
        <f>1.04^80</f>
        <v>23.049799069873313</v>
      </c>
      <c r="E43" s="871">
        <f>D43*C43</f>
        <v>8293317.705340418</v>
      </c>
    </row>
    <row r="44" spans="1:5">
      <c r="E44" t="s">
        <v>920</v>
      </c>
    </row>
    <row r="48" spans="1:5">
      <c r="B48" t="s">
        <v>905</v>
      </c>
    </row>
    <row r="49" spans="2:7">
      <c r="B49" t="s">
        <v>906</v>
      </c>
      <c r="D49" t="s">
        <v>907</v>
      </c>
      <c r="F49" t="s">
        <v>908</v>
      </c>
      <c r="G49" t="s">
        <v>909</v>
      </c>
    </row>
    <row r="50" spans="2:7">
      <c r="C50" t="s">
        <v>910</v>
      </c>
      <c r="D50">
        <v>230000</v>
      </c>
      <c r="E50" s="342">
        <v>0.04</v>
      </c>
      <c r="F50" s="317">
        <f>1.04^80</f>
        <v>23.049799069873313</v>
      </c>
      <c r="G50" s="317">
        <f>F50*D50</f>
        <v>5301453.7860708619</v>
      </c>
    </row>
    <row r="51" spans="2:7">
      <c r="C51" t="s">
        <v>911</v>
      </c>
      <c r="D51">
        <v>26402</v>
      </c>
      <c r="E51" s="342">
        <v>0.03</v>
      </c>
      <c r="F51" s="317">
        <f>1.03^80</f>
        <v>10.640890556430181</v>
      </c>
      <c r="G51" s="317">
        <f>F51*D51</f>
        <v>280940.79247086961</v>
      </c>
    </row>
    <row r="52" spans="2:7">
      <c r="C52" t="s">
        <v>938</v>
      </c>
      <c r="D52" s="354">
        <f>D50/D51</f>
        <v>8.7114612529353845</v>
      </c>
      <c r="G52" s="863">
        <f>G50/G51</f>
        <v>18.870359620775123</v>
      </c>
    </row>
    <row r="53" spans="2:7">
      <c r="G53" t="s">
        <v>913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118"/>
  <sheetViews>
    <sheetView showGridLines="0" zoomScale="120" zoomScaleNormal="120" workbookViewId="0">
      <selection activeCell="D75" sqref="D75"/>
    </sheetView>
  </sheetViews>
  <sheetFormatPr defaultColWidth="11.42578125" defaultRowHeight="12.75"/>
  <cols>
    <col min="1" max="1" width="3.140625" customWidth="1"/>
    <col min="2" max="2" width="33.7109375" customWidth="1"/>
  </cols>
  <sheetData>
    <row r="1" spans="1:10">
      <c r="A1" t="s">
        <v>866</v>
      </c>
    </row>
    <row r="2" spans="1:10" ht="23.25">
      <c r="A2" s="840" t="s">
        <v>513</v>
      </c>
      <c r="B2" s="835"/>
      <c r="C2" s="835"/>
      <c r="D2" s="835"/>
      <c r="E2" s="835"/>
      <c r="F2" s="835"/>
      <c r="G2" s="835"/>
    </row>
    <row r="3" spans="1:10" ht="15.75">
      <c r="A3" s="835"/>
      <c r="B3" s="841" t="s">
        <v>829</v>
      </c>
      <c r="C3" s="835"/>
      <c r="D3" s="835"/>
      <c r="E3" s="835"/>
      <c r="F3" s="835"/>
      <c r="G3" s="835"/>
    </row>
    <row r="4" spans="1:10">
      <c r="A4" s="834"/>
      <c r="B4" s="835"/>
      <c r="C4" s="835"/>
      <c r="D4" s="835"/>
      <c r="E4" s="836" t="s">
        <v>517</v>
      </c>
      <c r="F4" s="836" t="s">
        <v>518</v>
      </c>
      <c r="G4" s="836" t="s">
        <v>524</v>
      </c>
    </row>
    <row r="5" spans="1:10" ht="14.25">
      <c r="A5" s="834"/>
      <c r="B5" s="842" t="s">
        <v>709</v>
      </c>
      <c r="C5" s="843"/>
      <c r="D5" s="843"/>
      <c r="E5" s="843"/>
      <c r="F5" s="844">
        <v>41.3</v>
      </c>
      <c r="G5" s="835"/>
      <c r="H5" t="s">
        <v>735</v>
      </c>
    </row>
    <row r="6" spans="1:10" ht="14.25">
      <c r="A6" s="834"/>
      <c r="B6" s="842" t="s">
        <v>710</v>
      </c>
      <c r="C6" s="843"/>
      <c r="D6" s="843"/>
      <c r="E6" s="843"/>
      <c r="F6" s="844">
        <v>62.1</v>
      </c>
      <c r="G6" s="835"/>
      <c r="H6" t="s">
        <v>735</v>
      </c>
    </row>
    <row r="7" spans="1:10" ht="14.25">
      <c r="A7" s="834"/>
      <c r="B7" s="842" t="s">
        <v>711</v>
      </c>
      <c r="C7" s="843"/>
      <c r="D7" s="843"/>
      <c r="E7" s="843"/>
      <c r="F7" s="844">
        <v>20.9</v>
      </c>
      <c r="G7" s="835"/>
      <c r="H7" t="s">
        <v>737</v>
      </c>
    </row>
    <row r="8" spans="1:10" ht="14.25">
      <c r="A8" s="834"/>
      <c r="B8" s="842" t="s">
        <v>538</v>
      </c>
      <c r="C8" s="843"/>
      <c r="D8" s="843"/>
      <c r="E8" s="843"/>
      <c r="F8" s="844"/>
      <c r="G8" s="844">
        <v>41</v>
      </c>
      <c r="H8" t="s">
        <v>734</v>
      </c>
      <c r="J8" t="s">
        <v>752</v>
      </c>
    </row>
    <row r="9" spans="1:10" ht="14.25">
      <c r="A9" s="834"/>
      <c r="B9" s="842" t="s">
        <v>705</v>
      </c>
      <c r="C9" s="843"/>
      <c r="D9" s="843"/>
      <c r="E9" s="843"/>
      <c r="F9" s="844"/>
      <c r="G9" s="844">
        <f>10.6-2</f>
        <v>8.6</v>
      </c>
      <c r="H9" t="s">
        <v>738</v>
      </c>
      <c r="J9" t="s">
        <v>753</v>
      </c>
    </row>
    <row r="10" spans="1:10" ht="14.25">
      <c r="A10" s="834"/>
      <c r="B10" s="842" t="s">
        <v>706</v>
      </c>
      <c r="C10" s="835"/>
      <c r="D10" s="835"/>
      <c r="E10" s="835"/>
      <c r="F10" s="835"/>
      <c r="G10" s="844">
        <f>38.1-5</f>
        <v>33.1</v>
      </c>
      <c r="H10" t="s">
        <v>738</v>
      </c>
    </row>
    <row r="11" spans="1:10" ht="14.25">
      <c r="A11" s="834"/>
      <c r="B11" s="842" t="s">
        <v>707</v>
      </c>
      <c r="C11" s="835"/>
      <c r="D11" s="835"/>
      <c r="E11" s="835"/>
      <c r="F11" s="835"/>
      <c r="G11" s="844">
        <f>6-3</f>
        <v>3</v>
      </c>
      <c r="H11" t="s">
        <v>738</v>
      </c>
    </row>
    <row r="12" spans="1:10" ht="14.25">
      <c r="A12" s="834"/>
      <c r="B12" s="842" t="s">
        <v>83</v>
      </c>
      <c r="C12" s="845">
        <v>0.1</v>
      </c>
      <c r="D12" s="835"/>
      <c r="E12" s="844"/>
      <c r="F12" s="844">
        <f>SUM(F5:F11)*$C12</f>
        <v>12.430000000000001</v>
      </c>
      <c r="G12" s="844">
        <f>SUM(G8:G11)*$C12</f>
        <v>8.57</v>
      </c>
    </row>
    <row r="13" spans="1:10" ht="14.25">
      <c r="A13" s="834"/>
      <c r="B13" s="842" t="s">
        <v>708</v>
      </c>
      <c r="C13" s="845">
        <v>0.15</v>
      </c>
      <c r="D13" s="835"/>
      <c r="E13" s="835"/>
      <c r="F13" s="846">
        <f>C13*SUM(F5:F11)</f>
        <v>18.645</v>
      </c>
      <c r="G13" s="844">
        <v>12.9</v>
      </c>
    </row>
    <row r="14" spans="1:10" ht="14.25">
      <c r="A14" s="834"/>
      <c r="B14" s="842" t="s">
        <v>54</v>
      </c>
      <c r="C14" s="845">
        <v>0.4</v>
      </c>
      <c r="D14" s="835"/>
      <c r="E14" s="835"/>
      <c r="F14" s="846">
        <f>C14*SUM(F5:F11)</f>
        <v>49.720000000000006</v>
      </c>
      <c r="G14" s="844">
        <f>C14*SUM(G5:G11)</f>
        <v>34.28</v>
      </c>
    </row>
    <row r="15" spans="1:10" ht="15" thickBot="1">
      <c r="A15" s="834"/>
      <c r="B15" s="842" t="s">
        <v>830</v>
      </c>
      <c r="C15" s="835"/>
      <c r="D15" s="847">
        <f>SUM(E15:G15)</f>
        <v>278.18000000000006</v>
      </c>
      <c r="E15" s="847">
        <f>SUM(E5:E11)</f>
        <v>0</v>
      </c>
      <c r="F15" s="847">
        <f>SUM(F5:F12)</f>
        <v>136.73000000000002</v>
      </c>
      <c r="G15" s="847">
        <f>SUM(G5:G14)</f>
        <v>141.45000000000002</v>
      </c>
    </row>
    <row r="16" spans="1:10" ht="15" thickTop="1">
      <c r="A16" s="834"/>
      <c r="B16" s="842"/>
      <c r="C16" s="835"/>
      <c r="D16" s="848"/>
      <c r="E16" s="848"/>
      <c r="F16" s="848"/>
      <c r="G16" s="848"/>
    </row>
    <row r="17" spans="1:7" ht="14.25">
      <c r="A17" s="835"/>
      <c r="B17" s="842" t="s">
        <v>827</v>
      </c>
      <c r="C17" s="835"/>
      <c r="D17" s="846">
        <f>SUM(F17:G17)</f>
        <v>328</v>
      </c>
      <c r="E17" s="835"/>
      <c r="F17" s="844">
        <v>229</v>
      </c>
      <c r="G17" s="844">
        <v>99</v>
      </c>
    </row>
    <row r="18" spans="1:7" ht="14.25">
      <c r="A18" s="834"/>
      <c r="B18" s="842" t="s">
        <v>828</v>
      </c>
      <c r="C18" s="835"/>
      <c r="D18" s="848"/>
      <c r="E18" s="848"/>
      <c r="F18" s="849">
        <f>F17/1170/2.47*1000000</f>
        <v>79241.496245544811</v>
      </c>
      <c r="G18" s="849">
        <f>G17/424/2.47*1000000</f>
        <v>94530.593537544861</v>
      </c>
    </row>
    <row r="19" spans="1:7" ht="14.25">
      <c r="A19" s="834"/>
      <c r="B19" s="842"/>
      <c r="C19" s="835"/>
      <c r="D19" s="848"/>
      <c r="E19" s="848"/>
      <c r="F19" s="849"/>
      <c r="G19" s="849"/>
    </row>
    <row r="20" spans="1:7">
      <c r="A20" s="834"/>
      <c r="B20" s="835" t="s">
        <v>861</v>
      </c>
      <c r="C20" s="835"/>
      <c r="D20" s="835"/>
      <c r="E20" s="835"/>
      <c r="F20" s="838">
        <f>(F6+F5)/SUM(F5:F7)</f>
        <v>0.83185840707964598</v>
      </c>
      <c r="G20" s="838">
        <f>SUM(G9:G11)/SUM(G8:G11)</f>
        <v>0.5215869311551925</v>
      </c>
    </row>
    <row r="24" spans="1:7">
      <c r="F24" s="318"/>
      <c r="G24" s="318"/>
    </row>
    <row r="25" spans="1:7" ht="20.25">
      <c r="A25" s="820" t="s">
        <v>862</v>
      </c>
    </row>
    <row r="26" spans="1:7">
      <c r="A26" t="s">
        <v>863</v>
      </c>
    </row>
    <row r="105" spans="1:8" ht="13.5" thickBot="1"/>
    <row r="106" spans="1:8" ht="18">
      <c r="B106" s="727" t="s">
        <v>736</v>
      </c>
      <c r="C106" s="728"/>
      <c r="D106" s="729" t="s">
        <v>4</v>
      </c>
      <c r="E106" s="729" t="s">
        <v>517</v>
      </c>
      <c r="F106" s="729" t="s">
        <v>518</v>
      </c>
      <c r="G106" s="730" t="s">
        <v>524</v>
      </c>
    </row>
    <row r="107" spans="1:8">
      <c r="A107" s="301"/>
      <c r="B107" s="731"/>
      <c r="C107" s="320"/>
      <c r="D107" s="716" t="s">
        <v>382</v>
      </c>
      <c r="E107" s="716" t="s">
        <v>382</v>
      </c>
      <c r="F107" s="716" t="s">
        <v>382</v>
      </c>
      <c r="G107" s="732" t="s">
        <v>382</v>
      </c>
    </row>
    <row r="108" spans="1:8">
      <c r="A108" s="301"/>
      <c r="B108" s="731" t="s">
        <v>739</v>
      </c>
      <c r="C108" s="320"/>
      <c r="D108" s="321">
        <f>SUM(E108:G108)</f>
        <v>2845.7</v>
      </c>
      <c r="E108" s="321">
        <v>928</v>
      </c>
      <c r="F108" s="321">
        <f>1341+136.7</f>
        <v>1477.7</v>
      </c>
      <c r="G108" s="733">
        <v>440</v>
      </c>
    </row>
    <row r="109" spans="1:8">
      <c r="A109" s="301"/>
      <c r="B109" s="731" t="s">
        <v>742</v>
      </c>
      <c r="C109" s="320"/>
      <c r="D109" s="321">
        <f>SUM(E109:G109)</f>
        <v>-328</v>
      </c>
      <c r="E109" s="321">
        <f>E15</f>
        <v>0</v>
      </c>
      <c r="F109" s="321">
        <v>-229</v>
      </c>
      <c r="G109" s="733">
        <v>-99</v>
      </c>
      <c r="H109" s="321"/>
    </row>
    <row r="110" spans="1:8" ht="13.5" thickBot="1">
      <c r="A110" s="301"/>
      <c r="B110" s="731" t="s">
        <v>741</v>
      </c>
      <c r="C110" s="327"/>
      <c r="D110" s="726">
        <f>SUM(D108:D109)</f>
        <v>2517.6999999999998</v>
      </c>
      <c r="E110" s="726">
        <f>SUM(E108:E109)</f>
        <v>928</v>
      </c>
      <c r="F110" s="726">
        <f>SUM(F108:F109)</f>
        <v>1248.7</v>
      </c>
      <c r="G110" s="734">
        <f>SUM(G108:G109)</f>
        <v>341</v>
      </c>
      <c r="H110" s="321"/>
    </row>
    <row r="111" spans="1:8">
      <c r="A111" s="301"/>
      <c r="B111" s="731"/>
      <c r="C111" s="320"/>
      <c r="D111" s="321"/>
      <c r="E111" s="321"/>
      <c r="F111" s="321"/>
      <c r="G111" s="733"/>
      <c r="H111" s="321"/>
    </row>
    <row r="112" spans="1:8">
      <c r="A112" s="301"/>
      <c r="B112" s="731" t="s">
        <v>740</v>
      </c>
      <c r="C112" s="320"/>
      <c r="D112" s="327">
        <f>D110/D108</f>
        <v>0.88473837720068871</v>
      </c>
      <c r="E112" s="327">
        <f>E110/E108</f>
        <v>1</v>
      </c>
      <c r="F112" s="327">
        <f>F110/F108</f>
        <v>0.84502943763957505</v>
      </c>
      <c r="G112" s="735">
        <f>G110/G108</f>
        <v>0.77500000000000002</v>
      </c>
    </row>
    <row r="113" spans="2:7">
      <c r="B113" s="731"/>
      <c r="C113" s="320"/>
      <c r="D113" s="320"/>
      <c r="E113" s="320"/>
      <c r="F113" s="320"/>
      <c r="G113" s="736"/>
    </row>
    <row r="114" spans="2:7">
      <c r="B114" s="731"/>
      <c r="C114" s="320"/>
      <c r="D114" s="320"/>
      <c r="E114" s="320"/>
      <c r="F114" s="320"/>
      <c r="G114" s="736"/>
    </row>
    <row r="115" spans="2:7">
      <c r="B115" s="731" t="s">
        <v>743</v>
      </c>
      <c r="C115" s="320"/>
      <c r="D115" s="321"/>
      <c r="E115" s="321"/>
      <c r="F115" s="321"/>
      <c r="G115" s="733"/>
    </row>
    <row r="116" spans="2:7">
      <c r="B116" s="731" t="s">
        <v>745</v>
      </c>
      <c r="C116" s="320"/>
      <c r="D116" s="327"/>
      <c r="E116" s="327"/>
      <c r="F116" s="327"/>
      <c r="G116" s="735"/>
    </row>
    <row r="117" spans="2:7">
      <c r="B117" s="731" t="s">
        <v>744</v>
      </c>
      <c r="C117" s="320"/>
      <c r="D117" s="737"/>
      <c r="E117" s="737"/>
      <c r="F117" s="737"/>
      <c r="G117" s="738"/>
    </row>
    <row r="118" spans="2:7" ht="13.5" thickBot="1">
      <c r="B118" s="739"/>
      <c r="C118" s="740"/>
      <c r="D118" s="740"/>
      <c r="E118" s="740"/>
      <c r="F118" s="740"/>
      <c r="G118" s="74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5:IK142"/>
  <sheetViews>
    <sheetView tabSelected="1" view="pageLayout" zoomScaleNormal="125" workbookViewId="0">
      <selection activeCell="C22" sqref="C22"/>
    </sheetView>
  </sheetViews>
  <sheetFormatPr defaultColWidth="11.42578125" defaultRowHeight="12.75"/>
  <cols>
    <col min="1" max="1" width="8" style="743" customWidth="1"/>
    <col min="2" max="2" width="30" customWidth="1"/>
    <col min="3" max="3" width="14.28515625" customWidth="1"/>
    <col min="4" max="4" width="12.140625" bestFit="1" customWidth="1"/>
    <col min="5" max="5" width="16.140625" customWidth="1"/>
    <col min="6" max="6" width="10.85546875" style="320"/>
    <col min="7" max="9" width="10.85546875" hidden="1" customWidth="1"/>
    <col min="10" max="10" width="10.85546875" customWidth="1"/>
    <col min="11" max="11" width="11.140625" bestFit="1" customWidth="1"/>
    <col min="12" max="17" width="13.140625" bestFit="1" customWidth="1"/>
    <col min="18" max="25" width="15.42578125" bestFit="1" customWidth="1"/>
    <col min="26" max="26" width="16.42578125" bestFit="1" customWidth="1"/>
    <col min="27" max="41" width="15.42578125" bestFit="1" customWidth="1"/>
    <col min="42" max="42" width="16.42578125" bestFit="1" customWidth="1"/>
    <col min="43" max="61" width="15.42578125" bestFit="1" customWidth="1"/>
    <col min="62" max="62" width="16.42578125" bestFit="1" customWidth="1"/>
    <col min="63" max="81" width="15.42578125" bestFit="1" customWidth="1"/>
    <col min="82" max="82" width="16.42578125" bestFit="1" customWidth="1"/>
    <col min="83" max="88" width="15.42578125" bestFit="1" customWidth="1"/>
    <col min="89" max="90" width="13.140625" bestFit="1" customWidth="1"/>
  </cols>
  <sheetData>
    <row r="5" spans="1:90" s="96" customFormat="1" ht="20.100000000000001" customHeight="1">
      <c r="B5" s="720" t="s">
        <v>871</v>
      </c>
      <c r="C5"/>
      <c r="D5"/>
      <c r="E5"/>
      <c r="F5" s="320"/>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row>
    <row r="6" spans="1:90" s="711" customFormat="1" ht="51.95" customHeight="1">
      <c r="A6" s="745"/>
      <c r="B6" s="719" t="s">
        <v>704</v>
      </c>
      <c r="C6" s="709" t="s">
        <v>860</v>
      </c>
      <c r="D6" s="709" t="s">
        <v>699</v>
      </c>
      <c r="E6" s="709" t="s">
        <v>701</v>
      </c>
      <c r="F6" s="709" t="s">
        <v>4</v>
      </c>
      <c r="G6" s="710"/>
      <c r="H6" s="710">
        <v>2017</v>
      </c>
      <c r="I6" s="710">
        <v>2018</v>
      </c>
      <c r="J6" s="710">
        <v>2019</v>
      </c>
      <c r="K6" s="710">
        <v>2020</v>
      </c>
      <c r="L6" s="710">
        <v>2021</v>
      </c>
      <c r="M6" s="710">
        <v>2022</v>
      </c>
      <c r="N6" s="710">
        <v>2023</v>
      </c>
      <c r="O6" s="710">
        <v>2024</v>
      </c>
      <c r="P6" s="710">
        <v>2025</v>
      </c>
      <c r="Q6" s="710">
        <v>2026</v>
      </c>
      <c r="R6" s="710">
        <v>2027</v>
      </c>
      <c r="S6" s="710">
        <v>2028</v>
      </c>
      <c r="T6" s="710">
        <v>2029</v>
      </c>
      <c r="U6" s="710">
        <v>2030</v>
      </c>
      <c r="V6" s="710">
        <v>2031</v>
      </c>
      <c r="W6" s="710">
        <v>2032</v>
      </c>
      <c r="X6" s="710">
        <v>2033</v>
      </c>
      <c r="Y6" s="710">
        <v>2034</v>
      </c>
      <c r="Z6" s="710">
        <v>2035</v>
      </c>
      <c r="AA6" s="710">
        <v>2036</v>
      </c>
      <c r="AB6" s="710">
        <v>2037</v>
      </c>
      <c r="AC6" s="710">
        <v>2038</v>
      </c>
      <c r="AD6" s="710">
        <v>2039</v>
      </c>
      <c r="AE6" s="710">
        <v>2040</v>
      </c>
      <c r="AF6" s="710">
        <v>2041</v>
      </c>
      <c r="AG6" s="710">
        <v>2042</v>
      </c>
      <c r="AH6" s="710">
        <v>2043</v>
      </c>
      <c r="AI6" s="710">
        <v>2044</v>
      </c>
      <c r="AJ6" s="710">
        <v>2045</v>
      </c>
      <c r="AK6" s="710">
        <v>2046</v>
      </c>
      <c r="AL6" s="710">
        <v>2047</v>
      </c>
      <c r="AM6" s="710">
        <v>2048</v>
      </c>
      <c r="AN6" s="710">
        <v>2049</v>
      </c>
      <c r="AO6" s="710">
        <v>2050</v>
      </c>
      <c r="AP6" s="710">
        <v>2051</v>
      </c>
      <c r="AQ6" s="710">
        <v>2052</v>
      </c>
      <c r="AR6" s="710">
        <v>2053</v>
      </c>
      <c r="AS6" s="710">
        <v>2054</v>
      </c>
      <c r="AT6" s="710">
        <v>2055</v>
      </c>
      <c r="AU6" s="710">
        <v>2056</v>
      </c>
      <c r="AV6" s="710">
        <v>2057</v>
      </c>
      <c r="AW6" s="710">
        <v>2058</v>
      </c>
      <c r="AX6" s="710">
        <v>2059</v>
      </c>
      <c r="AY6" s="710">
        <v>2060</v>
      </c>
      <c r="AZ6" s="710">
        <v>2061</v>
      </c>
      <c r="BA6" s="710">
        <v>2062</v>
      </c>
      <c r="BB6" s="710">
        <v>2063</v>
      </c>
      <c r="BC6" s="710">
        <v>2064</v>
      </c>
      <c r="BD6" s="710">
        <v>2065</v>
      </c>
      <c r="BE6" s="710">
        <v>2066</v>
      </c>
      <c r="BF6" s="710">
        <v>2067</v>
      </c>
      <c r="BG6" s="710">
        <v>2068</v>
      </c>
      <c r="BH6" s="710">
        <v>2069</v>
      </c>
      <c r="BI6" s="710">
        <v>2070</v>
      </c>
      <c r="BJ6" s="710">
        <v>2071</v>
      </c>
      <c r="BK6" s="710">
        <v>2072</v>
      </c>
      <c r="BL6" s="710">
        <v>2073</v>
      </c>
      <c r="BM6" s="710">
        <v>2074</v>
      </c>
      <c r="BN6" s="710">
        <v>2075</v>
      </c>
      <c r="BO6" s="710">
        <v>2076</v>
      </c>
      <c r="BP6" s="710">
        <v>2077</v>
      </c>
      <c r="BQ6" s="710">
        <v>2078</v>
      </c>
      <c r="BR6" s="710">
        <v>2079</v>
      </c>
      <c r="BS6" s="710">
        <v>2080</v>
      </c>
      <c r="BT6" s="710">
        <v>2081</v>
      </c>
      <c r="BU6" s="710">
        <v>2082</v>
      </c>
      <c r="BV6" s="710">
        <v>2083</v>
      </c>
      <c r="BW6" s="710">
        <v>2084</v>
      </c>
      <c r="BX6" s="710">
        <v>2085</v>
      </c>
      <c r="BY6" s="710">
        <v>2086</v>
      </c>
      <c r="BZ6" s="710">
        <v>2087</v>
      </c>
      <c r="CA6" s="710">
        <v>2088</v>
      </c>
      <c r="CB6" s="710">
        <v>2089</v>
      </c>
      <c r="CC6" s="710">
        <v>2090</v>
      </c>
      <c r="CD6" s="710">
        <v>2091</v>
      </c>
      <c r="CE6" s="710">
        <v>2092</v>
      </c>
      <c r="CF6" s="710">
        <v>2093</v>
      </c>
      <c r="CG6" s="710">
        <v>2094</v>
      </c>
      <c r="CH6" s="710">
        <v>2095</v>
      </c>
      <c r="CI6" s="710">
        <v>2096</v>
      </c>
      <c r="CJ6" s="710">
        <v>2097</v>
      </c>
      <c r="CK6" s="710">
        <v>2098</v>
      </c>
      <c r="CL6" s="710">
        <v>2099</v>
      </c>
    </row>
    <row r="8" spans="1:90" s="743" customFormat="1">
      <c r="A8" s="786">
        <f>A10</f>
        <v>0.06</v>
      </c>
      <c r="B8" s="743" t="s">
        <v>698</v>
      </c>
      <c r="C8" s="713">
        <f>D8*1000000/Tables!E5/2.47105</f>
        <v>25789.402506810751</v>
      </c>
      <c r="D8" s="717">
        <f>NPV(A8,K8:CL8)</f>
        <v>43.652928599151473</v>
      </c>
      <c r="E8" s="831">
        <v>77946</v>
      </c>
      <c r="F8" s="715">
        <f>SUM(H8:CL8)</f>
        <v>551.90000000000009</v>
      </c>
      <c r="K8" s="832">
        <v>0</v>
      </c>
      <c r="L8" s="832">
        <v>-1</v>
      </c>
      <c r="M8" s="832">
        <v>-1</v>
      </c>
      <c r="N8" s="832">
        <v>-3.5</v>
      </c>
      <c r="O8" s="832">
        <v>-57.3</v>
      </c>
      <c r="P8" s="832">
        <v>-36.6</v>
      </c>
      <c r="Q8" s="832">
        <v>-10.1</v>
      </c>
      <c r="R8" s="832">
        <v>-6.9</v>
      </c>
      <c r="S8" s="832">
        <v>15.1</v>
      </c>
      <c r="T8" s="832">
        <v>13.7</v>
      </c>
      <c r="U8" s="832">
        <v>21.2</v>
      </c>
      <c r="V8" s="832">
        <v>-35.9</v>
      </c>
      <c r="W8" s="832">
        <v>-8.5</v>
      </c>
      <c r="X8" s="832">
        <v>15.8</v>
      </c>
      <c r="Y8" s="832">
        <v>15</v>
      </c>
      <c r="Z8" s="832">
        <v>-7.4</v>
      </c>
      <c r="AA8" s="832">
        <v>25.5</v>
      </c>
      <c r="AB8" s="832">
        <v>30.1</v>
      </c>
      <c r="AC8" s="832">
        <v>7.7</v>
      </c>
      <c r="AD8" s="832">
        <v>14</v>
      </c>
      <c r="AE8" s="832">
        <v>21.2</v>
      </c>
      <c r="AF8" s="832">
        <v>21.5</v>
      </c>
      <c r="AG8" s="832">
        <v>25.5</v>
      </c>
      <c r="AH8" s="832">
        <v>25.5</v>
      </c>
      <c r="AI8" s="832">
        <v>6.4</v>
      </c>
      <c r="AJ8" s="832">
        <v>22.7</v>
      </c>
      <c r="AK8" s="832">
        <v>23.9</v>
      </c>
      <c r="AL8" s="832">
        <v>17.3</v>
      </c>
      <c r="AM8" s="832">
        <v>25.5</v>
      </c>
      <c r="AN8" s="832">
        <v>16.8</v>
      </c>
      <c r="AO8" s="832">
        <v>15</v>
      </c>
      <c r="AP8" s="832">
        <v>20.100000000000001</v>
      </c>
      <c r="AQ8" s="832">
        <v>20.8</v>
      </c>
      <c r="AR8" s="832">
        <v>33.200000000000003</v>
      </c>
      <c r="AS8" s="832">
        <v>5.2</v>
      </c>
      <c r="AT8" s="832">
        <v>7.8</v>
      </c>
      <c r="AU8" s="832">
        <v>25.5</v>
      </c>
      <c r="AV8" s="832">
        <v>21.6</v>
      </c>
      <c r="AW8" s="832">
        <v>20.100000000000001</v>
      </c>
      <c r="AX8" s="832">
        <v>14</v>
      </c>
      <c r="AY8" s="832">
        <v>21.4</v>
      </c>
      <c r="AZ8" s="832">
        <v>35</v>
      </c>
      <c r="BA8" s="832">
        <v>25.8</v>
      </c>
      <c r="BB8" s="832">
        <v>20.5</v>
      </c>
      <c r="BC8" s="832">
        <v>14.6</v>
      </c>
      <c r="BD8" s="832">
        <v>32.700000000000003</v>
      </c>
      <c r="BE8" s="832">
        <v>22.4</v>
      </c>
      <c r="BF8" s="832"/>
      <c r="BG8" s="832"/>
      <c r="BH8" s="832"/>
      <c r="BI8" s="832"/>
      <c r="BJ8" s="832"/>
      <c r="BK8" s="832"/>
      <c r="BL8" s="832"/>
      <c r="BM8" s="832"/>
      <c r="BN8" s="832"/>
      <c r="BO8" s="832"/>
      <c r="BP8" s="832"/>
      <c r="BQ8" s="832"/>
      <c r="BR8" s="832"/>
      <c r="BS8" s="832"/>
      <c r="BT8" s="832"/>
      <c r="BU8" s="832"/>
      <c r="BV8" s="832"/>
      <c r="BW8" s="832"/>
      <c r="BX8" s="832"/>
      <c r="BY8" s="832"/>
      <c r="BZ8" s="832"/>
      <c r="CA8" s="832"/>
      <c r="CB8" s="832"/>
      <c r="CC8" s="832"/>
      <c r="CD8" s="832"/>
      <c r="CE8" s="832"/>
      <c r="CF8" s="832"/>
      <c r="CG8" s="832"/>
      <c r="CH8" s="832"/>
      <c r="CI8" s="832"/>
      <c r="CJ8" s="832"/>
      <c r="CK8" s="832"/>
      <c r="CL8" s="832"/>
    </row>
    <row r="9" spans="1:90" s="743" customFormat="1">
      <c r="C9" s="766"/>
      <c r="F9" s="792"/>
    </row>
    <row r="10" spans="1:90" s="96" customFormat="1" ht="15" customHeight="1">
      <c r="A10" s="786">
        <v>0.06</v>
      </c>
      <c r="B10" s="743" t="s">
        <v>702</v>
      </c>
      <c r="C10" s="713">
        <f>D10*1000000/1170/2.47105</f>
        <v>9335.1390334189764</v>
      </c>
      <c r="D10" s="714">
        <f>NPV($A10,K10:CL10)</f>
        <v>26.989086510980055</v>
      </c>
      <c r="E10" s="97">
        <v>58702</v>
      </c>
      <c r="F10" s="715">
        <f>SUM(H10:CL10)</f>
        <v>762.01519379433807</v>
      </c>
      <c r="G10" s="708"/>
      <c r="H10" s="708"/>
      <c r="I10" s="708"/>
      <c r="J10" s="708"/>
      <c r="K10" s="712">
        <f>'6. Baseline Appraisal'!J96</f>
        <v>0</v>
      </c>
      <c r="L10" s="712">
        <f>'6. Baseline Appraisal'!K96</f>
        <v>0</v>
      </c>
      <c r="M10" s="712">
        <f>'6. Baseline Appraisal'!L96</f>
        <v>0</v>
      </c>
      <c r="N10" s="712">
        <f>'6. Baseline Appraisal'!M96</f>
        <v>0</v>
      </c>
      <c r="O10" s="712">
        <f>'6. Baseline Appraisal'!N96</f>
        <v>0</v>
      </c>
      <c r="P10" s="712">
        <f>'6. Baseline Appraisal'!O96</f>
        <v>0</v>
      </c>
      <c r="Q10" s="712">
        <f>'6. Baseline Appraisal'!P96</f>
        <v>-1.4</v>
      </c>
      <c r="R10" s="712">
        <f>'6. Baseline Appraisal'!Q96</f>
        <v>-1.4</v>
      </c>
      <c r="S10" s="712">
        <f>'6. Baseline Appraisal'!R96</f>
        <v>-5.2</v>
      </c>
      <c r="T10" s="712">
        <f>'6. Baseline Appraisal'!S96</f>
        <v>-5.0654159061084201</v>
      </c>
      <c r="U10" s="712">
        <f>'6. Baseline Appraisal'!T96</f>
        <v>-19.515514131612843</v>
      </c>
      <c r="V10" s="712">
        <f>'6. Baseline Appraisal'!U96</f>
        <v>-2.5155141316128429</v>
      </c>
      <c r="W10" s="712">
        <f>'6. Baseline Appraisal'!V96</f>
        <v>-22.515514131612843</v>
      </c>
      <c r="X10" s="712">
        <f>'6. Baseline Appraisal'!W96</f>
        <v>-3.4475784532208777</v>
      </c>
      <c r="Y10" s="712">
        <f>'6. Baseline Appraisal'!X96</f>
        <v>3.5844858683871585</v>
      </c>
      <c r="Z10" s="712">
        <f>'6. Baseline Appraisal'!Y96</f>
        <v>-8.81551413161284</v>
      </c>
      <c r="AA10" s="712">
        <f>'6. Baseline Appraisal'!Z96</f>
        <v>-12.115514131612844</v>
      </c>
      <c r="AB10" s="712">
        <f>'6. Baseline Appraisal'!AA96</f>
        <v>10.002170290497709</v>
      </c>
      <c r="AC10" s="712">
        <f>'6. Baseline Appraisal'!AB96</f>
        <v>7.0844858683871585</v>
      </c>
      <c r="AD10" s="712">
        <f>'6. Baseline Appraisal'!AC96</f>
        <v>7.3844858683871557</v>
      </c>
      <c r="AE10" s="712">
        <f>'6. Baseline Appraisal'!AD96</f>
        <v>13.384485868387157</v>
      </c>
      <c r="AF10" s="712">
        <f>'6. Baseline Appraisal'!AE96</f>
        <v>7.9524215467791208</v>
      </c>
      <c r="AG10" s="712">
        <f>'6. Baseline Appraisal'!AF96</f>
        <v>13.584485868387157</v>
      </c>
      <c r="AH10" s="712">
        <f>'6. Baseline Appraisal'!AG96</f>
        <v>2.8844858683871557</v>
      </c>
      <c r="AI10" s="712">
        <f>'6. Baseline Appraisal'!AH96</f>
        <v>-7.5155141316128429</v>
      </c>
      <c r="AJ10" s="712">
        <f>'6. Baseline Appraisal'!AI96</f>
        <v>14.15242154677912</v>
      </c>
      <c r="AK10" s="712">
        <f>'6. Baseline Appraisal'!AJ96</f>
        <v>19.984485868387157</v>
      </c>
      <c r="AL10" s="712">
        <f>'6. Baseline Appraisal'!AK96</f>
        <v>6.2844858683871578</v>
      </c>
      <c r="AM10" s="712">
        <f>'6. Baseline Appraisal'!AL96</f>
        <v>11.684485868387156</v>
      </c>
      <c r="AN10" s="712">
        <f>'6. Baseline Appraisal'!AM96</f>
        <v>17.252421546779118</v>
      </c>
      <c r="AO10" s="712">
        <f>'6. Baseline Appraisal'!AN96</f>
        <v>0.8844858683871557</v>
      </c>
      <c r="AP10" s="712">
        <f>'6. Baseline Appraisal'!AO96</f>
        <v>19.884485868387159</v>
      </c>
      <c r="AQ10" s="712">
        <f>'6. Baseline Appraisal'!AP96</f>
        <v>-16.615514131612844</v>
      </c>
      <c r="AR10" s="712">
        <f>'6. Baseline Appraisal'!AQ96</f>
        <v>13.80217029049771</v>
      </c>
      <c r="AS10" s="712">
        <f>'6. Baseline Appraisal'!AR96</f>
        <v>15.084485868387157</v>
      </c>
      <c r="AT10" s="712">
        <f>'6. Baseline Appraisal'!AS96</f>
        <v>11.184485868387156</v>
      </c>
      <c r="AU10" s="712">
        <f>'6. Baseline Appraisal'!AT96</f>
        <v>15.184485868387156</v>
      </c>
      <c r="AV10" s="712">
        <f>'6. Baseline Appraisal'!AU96</f>
        <v>19.452421546779121</v>
      </c>
      <c r="AW10" s="712">
        <f>'6. Baseline Appraisal'!AV96</f>
        <v>13.884485868387157</v>
      </c>
      <c r="AX10" s="712">
        <f>'6. Baseline Appraisal'!AW96</f>
        <v>18.184485868387156</v>
      </c>
      <c r="AY10" s="712">
        <f>'6. Baseline Appraisal'!AX96</f>
        <v>16.284485868387158</v>
      </c>
      <c r="AZ10" s="712">
        <f>'6. Baseline Appraisal'!AY96</f>
        <v>-0.74757845322088201</v>
      </c>
      <c r="BA10" s="712">
        <f>'6. Baseline Appraisal'!AZ96</f>
        <v>11.884485868387156</v>
      </c>
      <c r="BB10" s="712">
        <f>'6. Baseline Appraisal'!BA96</f>
        <v>12.384485868387156</v>
      </c>
      <c r="BC10" s="712">
        <f>'6. Baseline Appraisal'!BB96</f>
        <v>18.484485868387157</v>
      </c>
      <c r="BD10" s="712">
        <f>'6. Baseline Appraisal'!BC96</f>
        <v>19.274415516628359</v>
      </c>
      <c r="BE10" s="712">
        <f>'6. Baseline Appraisal'!BD96</f>
        <v>16.884485868387159</v>
      </c>
      <c r="BF10" s="712">
        <f>'6. Baseline Appraisal'!BE96</f>
        <v>17.384485868387159</v>
      </c>
      <c r="BG10" s="712">
        <f>'6. Baseline Appraisal'!BF96</f>
        <v>11.984485868387157</v>
      </c>
      <c r="BH10" s="712">
        <f>'6. Baseline Appraisal'!BG96</f>
        <v>17.204425566879618</v>
      </c>
      <c r="BI10" s="712">
        <f>'6. Baseline Appraisal'!BH96</f>
        <v>15.284485868387158</v>
      </c>
      <c r="BJ10" s="712">
        <f>'6. Baseline Appraisal'!BI96</f>
        <v>16.984485868387157</v>
      </c>
      <c r="BK10" s="712">
        <f>'6. Baseline Appraisal'!BJ96</f>
        <v>17.584485868387155</v>
      </c>
      <c r="BL10" s="712">
        <f>'6. Baseline Appraisal'!BK96</f>
        <v>25.034234612105745</v>
      </c>
      <c r="BM10" s="712">
        <f>'6. Baseline Appraisal'!BL96</f>
        <v>20.084485868387155</v>
      </c>
      <c r="BN10" s="712">
        <f>'6. Baseline Appraisal'!BM96</f>
        <v>11.284485868387158</v>
      </c>
      <c r="BO10" s="712">
        <f>'6. Baseline Appraisal'!BN96</f>
        <v>9.5844858683871585</v>
      </c>
      <c r="BP10" s="712">
        <f>'6. Baseline Appraisal'!BO96</f>
        <v>19.60442556687962</v>
      </c>
      <c r="BQ10" s="712">
        <f>'6. Baseline Appraisal'!BP96</f>
        <v>20.984485868387157</v>
      </c>
      <c r="BR10" s="712">
        <f>'6. Baseline Appraisal'!BQ96</f>
        <v>-4.5155141316128429</v>
      </c>
      <c r="BS10" s="712">
        <f>'6. Baseline Appraisal'!BR96</f>
        <v>16.484485868387157</v>
      </c>
      <c r="BT10" s="712">
        <f>'6. Baseline Appraisal'!BS96</f>
        <v>13.904425566879617</v>
      </c>
      <c r="BU10" s="712">
        <f>'6. Baseline Appraisal'!BT96</f>
        <v>12.884485868387156</v>
      </c>
      <c r="BV10" s="712">
        <f>'6. Baseline Appraisal'!BU96</f>
        <v>-0.6155141316128443</v>
      </c>
      <c r="BW10" s="712">
        <f>'6. Baseline Appraisal'!BV96</f>
        <v>5.2844858683871578</v>
      </c>
      <c r="BX10" s="712">
        <f>'6. Baseline Appraisal'!BW96</f>
        <v>17.704425566879618</v>
      </c>
      <c r="BY10" s="712">
        <f>'6. Baseline Appraisal'!BX96</f>
        <v>20.284485868387158</v>
      </c>
      <c r="BZ10" s="712">
        <f>'6. Baseline Appraisal'!BY96</f>
        <v>16.884485868387159</v>
      </c>
      <c r="CA10" s="712">
        <f>'6. Baseline Appraisal'!BZ96</f>
        <v>14.884485868387157</v>
      </c>
      <c r="CB10" s="712">
        <f>'6. Baseline Appraisal'!CA96</f>
        <v>12.004425566879618</v>
      </c>
      <c r="CC10" s="712">
        <f>'6. Baseline Appraisal'!CB96</f>
        <v>16.384485868387159</v>
      </c>
      <c r="CD10" s="712">
        <f>'6. Baseline Appraisal'!CC96</f>
        <v>17.384485868387159</v>
      </c>
      <c r="CE10" s="712">
        <f>'6. Baseline Appraisal'!CD96</f>
        <v>20.684485868387156</v>
      </c>
      <c r="CF10" s="712">
        <f>'6. Baseline Appraisal'!CE96</f>
        <v>24.764244662357008</v>
      </c>
      <c r="CG10" s="712">
        <f>'6. Baseline Appraisal'!CF96</f>
        <v>17.984485868387157</v>
      </c>
      <c r="CH10" s="712">
        <f>'6. Baseline Appraisal'!CG96</f>
        <v>13.184485868387156</v>
      </c>
      <c r="CI10" s="712">
        <f>'6. Baseline Appraisal'!CH96</f>
        <v>15.884485868387157</v>
      </c>
      <c r="CJ10" s="712">
        <f>'6. Baseline Appraisal'!CI96</f>
        <v>22.904425566879617</v>
      </c>
      <c r="CK10" s="712">
        <f>'6. Baseline Appraisal'!CJ96</f>
        <v>24.335674905775079</v>
      </c>
      <c r="CL10" s="712">
        <f>'6. Baseline Appraisal'!CK96</f>
        <v>9.2178374528875402</v>
      </c>
    </row>
    <row r="11" spans="1:90" s="743" customFormat="1">
      <c r="C11" s="766"/>
      <c r="D11" s="831"/>
      <c r="E11" s="831"/>
      <c r="F11" s="833"/>
      <c r="K11" s="832"/>
      <c r="L11" s="832"/>
      <c r="M11" s="832"/>
      <c r="N11" s="832"/>
      <c r="O11" s="832"/>
      <c r="P11" s="832"/>
      <c r="Q11" s="832"/>
      <c r="R11" s="832"/>
      <c r="S11" s="832"/>
      <c r="T11" s="832"/>
      <c r="U11" s="832"/>
      <c r="V11" s="832"/>
      <c r="W11" s="832"/>
      <c r="X11" s="832"/>
      <c r="Y11" s="832"/>
      <c r="Z11" s="832"/>
      <c r="AA11" s="832"/>
      <c r="AB11" s="832"/>
      <c r="AC11" s="832"/>
      <c r="AD11" s="832"/>
      <c r="AE11" s="832"/>
      <c r="AF11" s="832"/>
      <c r="AG11" s="832"/>
      <c r="AH11" s="832"/>
      <c r="AI11" s="832"/>
      <c r="AJ11" s="832"/>
      <c r="AK11" s="832"/>
      <c r="AL11" s="832"/>
      <c r="AM11" s="832"/>
      <c r="AN11" s="832"/>
      <c r="AO11" s="832"/>
      <c r="AP11" s="832"/>
      <c r="AQ11" s="832"/>
      <c r="AR11" s="832"/>
      <c r="AS11" s="832"/>
      <c r="AT11" s="832"/>
      <c r="AU11" s="832"/>
      <c r="AV11" s="832"/>
      <c r="AW11" s="832"/>
      <c r="AX11" s="832"/>
      <c r="AY11" s="832"/>
      <c r="AZ11" s="832"/>
      <c r="BA11" s="832"/>
      <c r="BB11" s="832"/>
      <c r="BC11" s="832"/>
      <c r="BD11" s="832"/>
      <c r="BE11" s="832"/>
      <c r="BF11" s="832"/>
      <c r="BG11" s="832"/>
      <c r="BH11" s="832"/>
      <c r="BI11" s="832"/>
      <c r="BJ11" s="832"/>
      <c r="BK11" s="832"/>
      <c r="BL11" s="832"/>
      <c r="BM11" s="832"/>
      <c r="BN11" s="832"/>
      <c r="BO11" s="832"/>
      <c r="BP11" s="832"/>
      <c r="BQ11" s="832"/>
      <c r="BR11" s="832"/>
      <c r="BS11" s="832"/>
      <c r="BT11" s="832"/>
      <c r="BU11" s="832"/>
      <c r="BV11" s="832"/>
      <c r="BW11" s="832"/>
      <c r="BX11" s="832"/>
      <c r="BY11" s="832"/>
      <c r="BZ11" s="832"/>
      <c r="CA11" s="832"/>
      <c r="CB11" s="832"/>
      <c r="CC11" s="832"/>
      <c r="CD11" s="832"/>
      <c r="CE11" s="832"/>
      <c r="CF11" s="832"/>
      <c r="CG11" s="832"/>
      <c r="CH11" s="832"/>
      <c r="CI11" s="832"/>
      <c r="CJ11" s="832"/>
      <c r="CK11" s="832"/>
      <c r="CL11" s="832"/>
    </row>
    <row r="12" spans="1:90" s="743" customFormat="1">
      <c r="A12" s="786">
        <f>A10</f>
        <v>0.06</v>
      </c>
      <c r="B12" s="743" t="s">
        <v>700</v>
      </c>
      <c r="C12" s="713">
        <f>D12*1000000/Tables!G5/2.47105</f>
        <v>80147.504547130418</v>
      </c>
      <c r="D12" s="717">
        <f>NPV(A12,K12:CL12)</f>
        <v>83.972560231143135</v>
      </c>
      <c r="E12" s="831">
        <v>189411</v>
      </c>
      <c r="F12" s="715">
        <f>SUM(H12:CL12)</f>
        <v>318.79999999999995</v>
      </c>
      <c r="K12" s="832">
        <v>0</v>
      </c>
      <c r="L12" s="832">
        <v>-0.6</v>
      </c>
      <c r="M12" s="832">
        <v>-0.6</v>
      </c>
      <c r="N12" s="832">
        <v>-3.1</v>
      </c>
      <c r="O12" s="832">
        <v>-15.6</v>
      </c>
      <c r="P12" s="832">
        <v>-19.3</v>
      </c>
      <c r="Q12" s="832">
        <v>-9.6</v>
      </c>
      <c r="R12" s="832">
        <v>15.8</v>
      </c>
      <c r="S12" s="832">
        <v>28.3</v>
      </c>
      <c r="T12" s="832">
        <v>13.1</v>
      </c>
      <c r="U12" s="832">
        <v>15.2</v>
      </c>
      <c r="V12" s="832">
        <v>-14.6</v>
      </c>
      <c r="W12" s="832">
        <v>-1.2</v>
      </c>
      <c r="X12" s="832">
        <v>15.7</v>
      </c>
      <c r="Y12" s="832">
        <v>7.2</v>
      </c>
      <c r="Z12" s="832">
        <v>14.7</v>
      </c>
      <c r="AA12" s="832">
        <v>23</v>
      </c>
      <c r="AB12" s="832">
        <v>15.2</v>
      </c>
      <c r="AC12" s="832">
        <v>14.3</v>
      </c>
      <c r="AD12" s="832">
        <v>8.4</v>
      </c>
      <c r="AE12" s="832">
        <v>26.6</v>
      </c>
      <c r="AF12" s="832">
        <v>20.7</v>
      </c>
      <c r="AG12" s="832">
        <v>20.7</v>
      </c>
      <c r="AH12" s="832">
        <v>20</v>
      </c>
      <c r="AI12" s="832">
        <v>16.100000000000001</v>
      </c>
      <c r="AJ12" s="832">
        <v>11.8</v>
      </c>
      <c r="AK12" s="832">
        <v>11.8</v>
      </c>
      <c r="AL12" s="832">
        <v>20.7</v>
      </c>
      <c r="AM12" s="832">
        <v>24.9</v>
      </c>
      <c r="AN12" s="832">
        <v>19.8</v>
      </c>
      <c r="AO12" s="832">
        <v>19.399999999999999</v>
      </c>
      <c r="AP12" s="832"/>
      <c r="AQ12" s="832"/>
      <c r="AR12" s="832"/>
      <c r="AS12" s="832"/>
      <c r="AT12" s="832"/>
      <c r="AU12" s="832"/>
      <c r="AV12" s="832"/>
      <c r="AW12" s="832"/>
      <c r="AX12" s="832"/>
      <c r="AY12" s="832"/>
      <c r="AZ12" s="832"/>
      <c r="BA12" s="832"/>
      <c r="BB12" s="832"/>
      <c r="BC12" s="832"/>
      <c r="BD12" s="832"/>
      <c r="BE12" s="832"/>
      <c r="BF12" s="832"/>
      <c r="BG12" s="832"/>
      <c r="BH12" s="832"/>
      <c r="BI12" s="832"/>
      <c r="BJ12" s="832"/>
      <c r="BK12" s="832"/>
      <c r="BL12" s="832"/>
      <c r="BM12" s="832"/>
      <c r="BN12" s="832"/>
      <c r="BO12" s="832"/>
      <c r="BP12" s="832"/>
      <c r="BQ12" s="832"/>
      <c r="BR12" s="832"/>
      <c r="BS12" s="832"/>
      <c r="BT12" s="832"/>
      <c r="BU12" s="832"/>
      <c r="BV12" s="832"/>
      <c r="BW12" s="832"/>
      <c r="BX12" s="832"/>
      <c r="BY12" s="832"/>
      <c r="BZ12" s="832"/>
      <c r="CA12" s="832"/>
      <c r="CB12" s="832"/>
      <c r="CC12" s="832"/>
      <c r="CD12" s="832"/>
      <c r="CE12" s="832"/>
      <c r="CF12" s="832"/>
      <c r="CG12" s="832"/>
      <c r="CH12" s="832"/>
      <c r="CI12" s="832"/>
      <c r="CJ12" s="832"/>
      <c r="CK12" s="832"/>
      <c r="CL12" s="832"/>
    </row>
    <row r="13" spans="1:90">
      <c r="C13" s="766"/>
    </row>
    <row r="14" spans="1:90" ht="15">
      <c r="B14" s="767"/>
    </row>
    <row r="15" spans="1:90" s="369" customFormat="1">
      <c r="A15" s="830"/>
      <c r="B15" s="718"/>
      <c r="D15"/>
      <c r="E15"/>
      <c r="F15"/>
    </row>
    <row r="18" spans="1:245">
      <c r="C18" s="722"/>
      <c r="D18" s="354"/>
      <c r="E18" s="715"/>
    </row>
    <row r="19" spans="1:245">
      <c r="D19" s="354"/>
    </row>
    <row r="20" spans="1:245" ht="23.25">
      <c r="B20" s="720" t="s">
        <v>872</v>
      </c>
    </row>
    <row r="21" spans="1:245" ht="25.5">
      <c r="B21" s="723"/>
      <c r="C21" s="723" t="s">
        <v>703</v>
      </c>
      <c r="D21" s="723" t="s">
        <v>748</v>
      </c>
      <c r="E21" s="723" t="s">
        <v>841</v>
      </c>
      <c r="F21" s="723" t="s">
        <v>842</v>
      </c>
      <c r="J21" s="710">
        <v>2019</v>
      </c>
      <c r="K21" s="710">
        <v>2020</v>
      </c>
      <c r="L21" s="710">
        <v>2021</v>
      </c>
      <c r="M21" s="710">
        <v>2022</v>
      </c>
      <c r="N21" s="710">
        <v>2023</v>
      </c>
      <c r="O21" s="710">
        <v>2024</v>
      </c>
      <c r="P21" s="710">
        <v>2025</v>
      </c>
      <c r="Q21" s="710">
        <v>2026</v>
      </c>
      <c r="R21" s="710">
        <v>2027</v>
      </c>
      <c r="S21" s="710">
        <v>2028</v>
      </c>
      <c r="T21" s="710">
        <v>2029</v>
      </c>
      <c r="U21" s="710">
        <v>2030</v>
      </c>
      <c r="V21" s="710">
        <v>2031</v>
      </c>
      <c r="W21" s="710">
        <v>2032</v>
      </c>
      <c r="X21" s="710">
        <v>2033</v>
      </c>
      <c r="Y21" s="710">
        <v>2034</v>
      </c>
      <c r="Z21" s="710">
        <v>2035</v>
      </c>
      <c r="AA21" s="710">
        <v>2036</v>
      </c>
      <c r="AB21" s="710">
        <v>2037</v>
      </c>
      <c r="AC21" s="710">
        <v>2038</v>
      </c>
      <c r="AD21" s="710">
        <v>2039</v>
      </c>
      <c r="AE21" s="710">
        <v>2040</v>
      </c>
      <c r="AF21" s="710">
        <v>2041</v>
      </c>
      <c r="AG21" s="710">
        <v>2042</v>
      </c>
      <c r="AH21" s="710">
        <v>2043</v>
      </c>
      <c r="AI21" s="710">
        <v>2044</v>
      </c>
      <c r="AJ21" s="710">
        <v>2045</v>
      </c>
      <c r="AK21" s="710">
        <v>2046</v>
      </c>
      <c r="AL21" s="710">
        <v>2047</v>
      </c>
      <c r="AM21" s="710">
        <v>2048</v>
      </c>
      <c r="AN21" s="710">
        <v>2049</v>
      </c>
      <c r="AO21" s="710">
        <v>2050</v>
      </c>
      <c r="AP21" s="710">
        <v>2051</v>
      </c>
      <c r="AQ21" s="710">
        <v>2052</v>
      </c>
      <c r="AR21" s="710">
        <v>2053</v>
      </c>
      <c r="AS21" s="710">
        <v>2054</v>
      </c>
      <c r="AT21" s="710">
        <v>2055</v>
      </c>
      <c r="AU21" s="710">
        <v>2056</v>
      </c>
      <c r="AV21" s="710">
        <v>2057</v>
      </c>
      <c r="AW21" s="710">
        <v>2058</v>
      </c>
      <c r="AX21" s="710">
        <v>2059</v>
      </c>
      <c r="AY21" s="710">
        <v>2060</v>
      </c>
      <c r="AZ21" s="710">
        <v>2061</v>
      </c>
      <c r="BA21" s="710">
        <v>2062</v>
      </c>
      <c r="BB21" s="710">
        <v>2063</v>
      </c>
      <c r="BC21" s="710">
        <v>2064</v>
      </c>
      <c r="BD21" s="710">
        <v>2065</v>
      </c>
      <c r="BE21" s="710">
        <v>2066</v>
      </c>
      <c r="BF21" s="710">
        <v>2067</v>
      </c>
      <c r="BG21" s="710">
        <v>2068</v>
      </c>
      <c r="BH21" s="710">
        <v>2069</v>
      </c>
      <c r="BI21" s="710">
        <v>2070</v>
      </c>
      <c r="BJ21" s="710">
        <v>2071</v>
      </c>
      <c r="BK21" s="710">
        <v>2072</v>
      </c>
      <c r="BL21" s="710">
        <v>2073</v>
      </c>
      <c r="BM21" s="710">
        <v>2074</v>
      </c>
      <c r="BN21" s="710">
        <v>2075</v>
      </c>
      <c r="BO21" s="710">
        <v>2076</v>
      </c>
      <c r="BP21" s="710">
        <v>2077</v>
      </c>
      <c r="BQ21" s="710">
        <v>2078</v>
      </c>
      <c r="BR21" s="710">
        <v>2079</v>
      </c>
      <c r="BS21" s="710">
        <v>2080</v>
      </c>
      <c r="BT21" s="710">
        <v>2081</v>
      </c>
      <c r="BU21" s="710">
        <v>2082</v>
      </c>
      <c r="BV21" s="710">
        <v>2083</v>
      </c>
      <c r="BW21" s="710">
        <v>2084</v>
      </c>
      <c r="BX21" s="710">
        <v>2085</v>
      </c>
      <c r="BY21" s="710">
        <v>2086</v>
      </c>
      <c r="BZ21" s="710">
        <v>2087</v>
      </c>
      <c r="CA21" s="710">
        <v>2088</v>
      </c>
      <c r="CB21" s="710">
        <v>2089</v>
      </c>
      <c r="CC21" s="710">
        <v>2090</v>
      </c>
      <c r="CD21" s="710">
        <v>2091</v>
      </c>
      <c r="CE21" s="710">
        <v>2092</v>
      </c>
      <c r="CF21" s="710">
        <v>2093</v>
      </c>
      <c r="CG21" s="710">
        <v>2094</v>
      </c>
      <c r="CH21" s="710">
        <v>2095</v>
      </c>
      <c r="CI21" s="710">
        <v>2096</v>
      </c>
      <c r="CJ21" s="710">
        <v>2097</v>
      </c>
      <c r="CK21" s="710">
        <v>2098</v>
      </c>
      <c r="CL21" s="710">
        <v>2099</v>
      </c>
      <c r="CM21" s="711"/>
      <c r="CN21" s="711"/>
      <c r="CO21" s="711"/>
      <c r="CP21" s="711"/>
      <c r="CQ21" s="711"/>
      <c r="CR21" s="711"/>
      <c r="CS21" s="711"/>
      <c r="CT21" s="711"/>
      <c r="CU21" s="711"/>
      <c r="CV21" s="711"/>
      <c r="CW21" s="711"/>
      <c r="CX21" s="711"/>
      <c r="CY21" s="711"/>
      <c r="CZ21" s="711"/>
      <c r="DA21" s="711"/>
      <c r="DB21" s="711"/>
      <c r="DC21" s="711"/>
      <c r="DD21" s="711"/>
      <c r="DE21" s="711"/>
      <c r="DF21" s="711"/>
      <c r="DG21" s="711"/>
      <c r="DH21" s="711"/>
      <c r="DI21" s="711"/>
      <c r="DJ21" s="711"/>
      <c r="DK21" s="711"/>
      <c r="DL21" s="711"/>
      <c r="DM21" s="711"/>
      <c r="DN21" s="711"/>
      <c r="DO21" s="711"/>
      <c r="DP21" s="711"/>
      <c r="DQ21" s="711"/>
      <c r="DR21" s="711"/>
      <c r="DS21" s="711"/>
      <c r="DT21" s="711"/>
      <c r="DU21" s="711"/>
      <c r="DV21" s="711"/>
      <c r="DW21" s="711"/>
      <c r="DX21" s="711"/>
      <c r="DY21" s="711"/>
      <c r="DZ21" s="711"/>
      <c r="EA21" s="711"/>
      <c r="EB21" s="711"/>
      <c r="EC21" s="711"/>
      <c r="ED21" s="711"/>
      <c r="EE21" s="711"/>
      <c r="EF21" s="711"/>
      <c r="EG21" s="711"/>
      <c r="EH21" s="711"/>
      <c r="EI21" s="711"/>
      <c r="EJ21" s="711"/>
      <c r="EK21" s="711"/>
      <c r="EL21" s="711"/>
      <c r="EM21" s="711"/>
      <c r="EN21" s="711"/>
      <c r="EO21" s="711"/>
      <c r="EP21" s="711"/>
      <c r="EQ21" s="711"/>
      <c r="ER21" s="711"/>
      <c r="ES21" s="711"/>
      <c r="ET21" s="711"/>
      <c r="EU21" s="711"/>
      <c r="EV21" s="711"/>
      <c r="EW21" s="711"/>
      <c r="EX21" s="711"/>
      <c r="EY21" s="711"/>
      <c r="EZ21" s="711"/>
      <c r="FA21" s="711"/>
      <c r="FB21" s="711"/>
      <c r="FC21" s="711"/>
      <c r="FD21" s="711"/>
      <c r="FE21" s="711"/>
      <c r="FF21" s="711"/>
      <c r="FG21" s="711"/>
      <c r="FH21" s="711"/>
      <c r="FI21" s="711"/>
      <c r="FJ21" s="711"/>
      <c r="FK21" s="711"/>
      <c r="FL21" s="711"/>
      <c r="FM21" s="711"/>
      <c r="FN21" s="711"/>
      <c r="FO21" s="711"/>
      <c r="FP21" s="711"/>
      <c r="FQ21" s="711"/>
      <c r="FR21" s="711"/>
      <c r="FS21" s="711"/>
      <c r="FT21" s="711"/>
      <c r="FU21" s="711"/>
      <c r="FV21" s="711"/>
      <c r="FW21" s="711"/>
      <c r="FX21" s="711"/>
      <c r="FY21" s="711"/>
      <c r="FZ21" s="711"/>
      <c r="GA21" s="711"/>
      <c r="GB21" s="711"/>
      <c r="GC21" s="711"/>
      <c r="GD21" s="711"/>
      <c r="GE21" s="711"/>
      <c r="GF21" s="711"/>
      <c r="GG21" s="711"/>
      <c r="GH21" s="711"/>
      <c r="GI21" s="711"/>
      <c r="GJ21" s="711"/>
      <c r="GK21" s="711"/>
      <c r="GL21" s="711"/>
      <c r="GM21" s="711"/>
      <c r="GN21" s="711"/>
      <c r="GO21" s="711"/>
      <c r="GP21" s="711"/>
      <c r="GQ21" s="711"/>
      <c r="GR21" s="711"/>
      <c r="GS21" s="711"/>
      <c r="GT21" s="711"/>
      <c r="GU21" s="711"/>
      <c r="GV21" s="711"/>
      <c r="GW21" s="711"/>
      <c r="GX21" s="711"/>
      <c r="GY21" s="711"/>
      <c r="GZ21" s="711"/>
      <c r="HA21" s="711"/>
      <c r="HB21" s="711"/>
      <c r="HC21" s="711"/>
      <c r="HD21" s="711"/>
      <c r="HE21" s="711"/>
      <c r="HF21" s="711"/>
      <c r="HG21" s="711"/>
      <c r="HH21" s="711"/>
      <c r="HI21" s="711"/>
      <c r="HJ21" s="711"/>
      <c r="HK21" s="711"/>
      <c r="HL21" s="711"/>
      <c r="HM21" s="711"/>
      <c r="HN21" s="711"/>
      <c r="HO21" s="711"/>
      <c r="HP21" s="711"/>
      <c r="HQ21" s="711"/>
      <c r="HR21" s="711"/>
      <c r="HS21" s="711"/>
      <c r="HT21" s="711"/>
      <c r="HU21" s="711"/>
      <c r="HV21" s="711"/>
      <c r="HW21" s="711"/>
      <c r="HX21" s="711"/>
      <c r="HY21" s="711"/>
      <c r="HZ21" s="711"/>
      <c r="IA21" s="711"/>
      <c r="IB21" s="711"/>
      <c r="IC21" s="711"/>
      <c r="ID21" s="711"/>
      <c r="IE21" s="711"/>
      <c r="IF21" s="711"/>
      <c r="IG21" s="711"/>
      <c r="IH21" s="711"/>
      <c r="II21" s="711"/>
      <c r="IJ21" s="711"/>
      <c r="IK21" s="711"/>
    </row>
    <row r="22" spans="1:245" s="767" customFormat="1" ht="15.75">
      <c r="A22" s="771"/>
      <c r="B22" s="767" t="s">
        <v>873</v>
      </c>
      <c r="C22" s="768">
        <f>NPV(0.06,K22:CL22)</f>
        <v>8944.7692597898222</v>
      </c>
      <c r="D22" s="769"/>
      <c r="E22" s="768">
        <v>58702</v>
      </c>
      <c r="F22" s="768">
        <f>SUM(H22:CL22)</f>
        <v>58705.439196391962</v>
      </c>
      <c r="K22" s="767">
        <v>0</v>
      </c>
      <c r="L22" s="767">
        <f>'6. Baseline Appraisal'!K107/'6. Baseline Appraisal'!$D107*$E22</f>
        <v>0</v>
      </c>
      <c r="M22" s="767">
        <f>'6. Baseline Appraisal'!L107/'6. Baseline Appraisal'!$D107*$E22</f>
        <v>0</v>
      </c>
      <c r="N22" s="767">
        <f>'6. Baseline Appraisal'!M107/'6. Baseline Appraisal'!$D107*$E22</f>
        <v>0</v>
      </c>
      <c r="O22" s="767">
        <f>'6. Baseline Appraisal'!N107/'6. Baseline Appraisal'!$D107*$E22</f>
        <v>0</v>
      </c>
      <c r="P22" s="767">
        <f>'6. Baseline Appraisal'!O107/'6. Baseline Appraisal'!$D107*$E22</f>
        <v>0</v>
      </c>
      <c r="Q22" s="767">
        <f>'6. Baseline Appraisal'!P107/'6. Baseline Appraisal'!$D107*$E22</f>
        <v>0</v>
      </c>
      <c r="R22" s="770">
        <f>'6. Baseline Appraisal'!Q107/'6. Baseline Appraisal'!$D107*$E22</f>
        <v>500.24353791649065</v>
      </c>
      <c r="S22" s="770">
        <f>'6. Baseline Appraisal'!R107/'6. Baseline Appraisal'!$D107*$E22</f>
        <v>813.28835281260035</v>
      </c>
      <c r="T22" s="770">
        <f>'6. Baseline Appraisal'!S107/'6. Baseline Appraisal'!$D107*$E22</f>
        <v>813.28835281260035</v>
      </c>
      <c r="U22" s="770">
        <f>'6. Baseline Appraisal'!T107/'6. Baseline Appraisal'!$D107*$E22</f>
        <v>813.28835281260035</v>
      </c>
      <c r="V22" s="770">
        <f>'6. Baseline Appraisal'!U107/'6. Baseline Appraisal'!$D107*$E22</f>
        <v>872.42065330315882</v>
      </c>
      <c r="W22" s="770">
        <f>'6. Baseline Appraisal'!V107/'6. Baseline Appraisal'!$D107*$E22</f>
        <v>813.28835281260035</v>
      </c>
      <c r="X22" s="770">
        <f>'6. Baseline Appraisal'!W107/'6. Baseline Appraisal'!$D107*$E22</f>
        <v>813.28835281260035</v>
      </c>
      <c r="Y22" s="770">
        <f>'6. Baseline Appraisal'!X107/'6. Baseline Appraisal'!$D107*$E22</f>
        <v>813.28835281260035</v>
      </c>
      <c r="Z22" s="770">
        <f>'6. Baseline Appraisal'!Y107/'6. Baseline Appraisal'!$D107*$E22</f>
        <v>1103.4062020944018</v>
      </c>
      <c r="AA22" s="770">
        <f>'6. Baseline Appraisal'!Z107/'6. Baseline Appraisal'!$D107*$E22</f>
        <v>813.28835281260035</v>
      </c>
      <c r="AB22" s="770">
        <f>'6. Baseline Appraisal'!AA107/'6. Baseline Appraisal'!$D107*$E22</f>
        <v>813.28835281260035</v>
      </c>
      <c r="AC22" s="770">
        <f>'6. Baseline Appraisal'!AB107/'6. Baseline Appraisal'!$D107*$E22</f>
        <v>813.28835281260035</v>
      </c>
      <c r="AD22" s="770">
        <f>'6. Baseline Appraisal'!AC107/'6. Baseline Appraisal'!$D107*$E22</f>
        <v>872.42065330315882</v>
      </c>
      <c r="AE22" s="770">
        <f>'6. Baseline Appraisal'!AD107/'6. Baseline Appraisal'!$D107*$E22</f>
        <v>813.28835281260035</v>
      </c>
      <c r="AF22" s="770">
        <f>'6. Baseline Appraisal'!AE107/'6. Baseline Appraisal'!$D107*$E22</f>
        <v>813.28835281260035</v>
      </c>
      <c r="AG22" s="770">
        <f>'6. Baseline Appraisal'!AF107/'6. Baseline Appraisal'!$D107*$E22</f>
        <v>813.28835281260035</v>
      </c>
      <c r="AH22" s="770">
        <f>'6. Baseline Appraisal'!AG107/'6. Baseline Appraisal'!$D107*$E22</f>
        <v>872.42065330315882</v>
      </c>
      <c r="AI22" s="770">
        <f>'6. Baseline Appraisal'!AH107/'6. Baseline Appraisal'!$D107*$E22</f>
        <v>813.28835281260035</v>
      </c>
      <c r="AJ22" s="770">
        <f>'6. Baseline Appraisal'!AI107/'6. Baseline Appraisal'!$D107*$E22</f>
        <v>813.28835281260035</v>
      </c>
      <c r="AK22" s="770">
        <f>'6. Baseline Appraisal'!AJ107/'6. Baseline Appraisal'!$D107*$E22</f>
        <v>813.28835281260035</v>
      </c>
      <c r="AL22" s="770">
        <f>'6. Baseline Appraisal'!AK107/'6. Baseline Appraisal'!$D107*$E22</f>
        <v>872.42065330315882</v>
      </c>
      <c r="AM22" s="770">
        <f>'6. Baseline Appraisal'!AL107/'6. Baseline Appraisal'!$D107*$E22</f>
        <v>813.28835281260035</v>
      </c>
      <c r="AN22" s="770">
        <f>'6. Baseline Appraisal'!AM107/'6. Baseline Appraisal'!$D107*$E22</f>
        <v>813.28835281260035</v>
      </c>
      <c r="AO22" s="770">
        <f>'6. Baseline Appraisal'!AN107/'6. Baseline Appraisal'!$D107*$E22</f>
        <v>813.28835281260035</v>
      </c>
      <c r="AP22" s="770">
        <f>'6. Baseline Appraisal'!AO107/'6. Baseline Appraisal'!$D107*$E22</f>
        <v>1103.4062020944018</v>
      </c>
      <c r="AQ22" s="770">
        <f>'6. Baseline Appraisal'!AP107/'6. Baseline Appraisal'!$D107*$E22</f>
        <v>813.28835281260035</v>
      </c>
      <c r="AR22" s="770">
        <f>'6. Baseline Appraisal'!AQ107/'6. Baseline Appraisal'!$D107*$E22</f>
        <v>813.28835281260035</v>
      </c>
      <c r="AS22" s="770">
        <f>'6. Baseline Appraisal'!AR107/'6. Baseline Appraisal'!$D107*$E22</f>
        <v>813.28835281260035</v>
      </c>
      <c r="AT22" s="770">
        <f>'6. Baseline Appraisal'!AS107/'6. Baseline Appraisal'!$D107*$E22</f>
        <v>872.42065330315882</v>
      </c>
      <c r="AU22" s="770">
        <f>'6. Baseline Appraisal'!AT107/'6. Baseline Appraisal'!$D107*$E22</f>
        <v>813.28835281260035</v>
      </c>
      <c r="AV22" s="770">
        <f>'6. Baseline Appraisal'!AU107/'6. Baseline Appraisal'!$D107*$E22</f>
        <v>813.28835281260035</v>
      </c>
      <c r="AW22" s="770">
        <f>'6. Baseline Appraisal'!AV107/'6. Baseline Appraisal'!$D107*$E22</f>
        <v>813.28835281260035</v>
      </c>
      <c r="AX22" s="770">
        <f>'6. Baseline Appraisal'!AW107/'6. Baseline Appraisal'!$D107*$E22</f>
        <v>872.42065330315882</v>
      </c>
      <c r="AY22" s="770">
        <f>'6. Baseline Appraisal'!AX107/'6. Baseline Appraisal'!$D107*$E22</f>
        <v>813.28835281260035</v>
      </c>
      <c r="AZ22" s="770">
        <f>'6. Baseline Appraisal'!AY107/'6. Baseline Appraisal'!$D107*$E22</f>
        <v>813.28835281260035</v>
      </c>
      <c r="BA22" s="770">
        <f>'6. Baseline Appraisal'!AZ107/'6. Baseline Appraisal'!$D107*$E22</f>
        <v>813.28835281260035</v>
      </c>
      <c r="BB22" s="770">
        <f>'6. Baseline Appraisal'!BA107/'6. Baseline Appraisal'!$D107*$E22</f>
        <v>877.96430647414832</v>
      </c>
      <c r="BC22" s="770">
        <f>'6. Baseline Appraisal'!BB107/'6. Baseline Appraisal'!$D107*$E22</f>
        <v>813.28835281260035</v>
      </c>
      <c r="BD22" s="770">
        <f>'6. Baseline Appraisal'!BC107/'6. Baseline Appraisal'!$D107*$E22</f>
        <v>813.28835281260035</v>
      </c>
      <c r="BE22" s="770">
        <f>'6. Baseline Appraisal'!BD107/'6. Baseline Appraisal'!$D107*$E22</f>
        <v>813.28835281260035</v>
      </c>
      <c r="BF22" s="770">
        <f>'6. Baseline Appraisal'!BE107/'6. Baseline Appraisal'!$D107*$E22</f>
        <v>868.72488452249866</v>
      </c>
      <c r="BG22" s="770">
        <f>'6. Baseline Appraisal'!BF107/'6. Baseline Appraisal'!$D107*$E22</f>
        <v>813.28835281260035</v>
      </c>
      <c r="BH22" s="770">
        <f>'6. Baseline Appraisal'!BG107/'6. Baseline Appraisal'!$D107*$E22</f>
        <v>813.28835281260035</v>
      </c>
      <c r="BI22" s="770">
        <f>'6. Baseline Appraisal'!BH107/'6. Baseline Appraisal'!$D107*$E22</f>
        <v>813.28835281260035</v>
      </c>
      <c r="BJ22" s="770">
        <f>'6. Baseline Appraisal'!BI107/'6. Baseline Appraisal'!$D107*$E22</f>
        <v>1044.2739016038436</v>
      </c>
      <c r="BK22" s="770">
        <f>'6. Baseline Appraisal'!BJ107/'6. Baseline Appraisal'!$D107*$E22</f>
        <v>813.28835281260035</v>
      </c>
      <c r="BL22" s="770">
        <f>'6. Baseline Appraisal'!BK107/'6. Baseline Appraisal'!$D107*$E22</f>
        <v>813.28835281260035</v>
      </c>
      <c r="BM22" s="770">
        <f>'6. Baseline Appraisal'!BL107/'6. Baseline Appraisal'!$D107*$E22</f>
        <v>813.28835281260035</v>
      </c>
      <c r="BN22" s="770">
        <f>'6. Baseline Appraisal'!BM107/'6. Baseline Appraisal'!$D107*$E22</f>
        <v>868.72488452249866</v>
      </c>
      <c r="BO22" s="770">
        <f>'6. Baseline Appraisal'!BN107/'6. Baseline Appraisal'!$D107*$E22</f>
        <v>813.28835281260035</v>
      </c>
      <c r="BP22" s="770">
        <f>'6. Baseline Appraisal'!BO107/'6. Baseline Appraisal'!$D107*$E22</f>
        <v>813.28835281260035</v>
      </c>
      <c r="BQ22" s="770">
        <f>'6. Baseline Appraisal'!BP107/'6. Baseline Appraisal'!$D107*$E22</f>
        <v>813.28835281260035</v>
      </c>
      <c r="BR22" s="770">
        <f>'6. Baseline Appraisal'!BQ107/'6. Baseline Appraisal'!$D107*$E22</f>
        <v>868.72488452249866</v>
      </c>
      <c r="BS22" s="770">
        <f>'6. Baseline Appraisal'!BR107/'6. Baseline Appraisal'!$D107*$E22</f>
        <v>813.28835281260035</v>
      </c>
      <c r="BT22" s="770">
        <f>'6. Baseline Appraisal'!BS107/'6. Baseline Appraisal'!$D107*$E22</f>
        <v>813.28835281260035</v>
      </c>
      <c r="BU22" s="770">
        <f>'6. Baseline Appraisal'!BT107/'6. Baseline Appraisal'!$D107*$E22</f>
        <v>813.28835281260035</v>
      </c>
      <c r="BV22" s="770">
        <f>'6. Baseline Appraisal'!BU107/'6. Baseline Appraisal'!$D107*$E22</f>
        <v>868.72488452249866</v>
      </c>
      <c r="BW22" s="770">
        <f>'6. Baseline Appraisal'!BV107/'6. Baseline Appraisal'!$D107*$E22</f>
        <v>813.28835281260035</v>
      </c>
      <c r="BX22" s="770">
        <f>'6. Baseline Appraisal'!BW107/'6. Baseline Appraisal'!$D107*$E22</f>
        <v>813.28835281260035</v>
      </c>
      <c r="BY22" s="770">
        <f>'6. Baseline Appraisal'!BX107/'6. Baseline Appraisal'!$D107*$E22</f>
        <v>813.28835281260035</v>
      </c>
      <c r="BZ22" s="770">
        <f>'6. Baseline Appraisal'!BY107/'6. Baseline Appraisal'!$D107*$E22</f>
        <v>868.72488452249866</v>
      </c>
      <c r="CA22" s="770">
        <f>'6. Baseline Appraisal'!BZ107/'6. Baseline Appraisal'!$D107*$E22</f>
        <v>813.28835281260035</v>
      </c>
      <c r="CB22" s="770">
        <f>'6. Baseline Appraisal'!CA107/'6. Baseline Appraisal'!$D107*$E22</f>
        <v>813.28835281260035</v>
      </c>
      <c r="CC22" s="770">
        <f>'6. Baseline Appraisal'!CB107/'6. Baseline Appraisal'!$D107*$E22</f>
        <v>813.28835281260035</v>
      </c>
      <c r="CD22" s="770">
        <f>'6. Baseline Appraisal'!CC107/'6. Baseline Appraisal'!$D107*$E22</f>
        <v>1035.0344796521938</v>
      </c>
      <c r="CE22" s="770">
        <f>'6. Baseline Appraisal'!CD107/'6. Baseline Appraisal'!$D107*$E22</f>
        <v>813.28835281260035</v>
      </c>
      <c r="CF22" s="770">
        <f>'6. Baseline Appraisal'!CE107/'6. Baseline Appraisal'!$D107*$E22</f>
        <v>813.28835281260035</v>
      </c>
      <c r="CG22" s="770">
        <f>'6. Baseline Appraisal'!CF107/'6. Baseline Appraisal'!$D107*$E22</f>
        <v>813.28835281260035</v>
      </c>
      <c r="CH22" s="770">
        <f>'6. Baseline Appraisal'!CG107/'6. Baseline Appraisal'!$D107*$E22</f>
        <v>868.72488452249866</v>
      </c>
      <c r="CI22" s="770">
        <f>'6. Baseline Appraisal'!CH107/'6. Baseline Appraisal'!$D107*$E22</f>
        <v>744.35423077333542</v>
      </c>
      <c r="CJ22" s="770">
        <f>'6. Baseline Appraisal'!CI107/'6. Baseline Appraisal'!$D107*$E22</f>
        <v>372.17711538666771</v>
      </c>
      <c r="CK22" s="767">
        <f>'6. Baseline Appraisal'!CJ107/'6. Baseline Appraisal'!$D107*$E22</f>
        <v>0</v>
      </c>
      <c r="CL22" s="767">
        <f>'6. Baseline Appraisal'!CK107/'6. Baseline Appraisal'!$D107*$E22</f>
        <v>0</v>
      </c>
    </row>
    <row r="23" spans="1:245" s="767" customFormat="1" ht="15.75">
      <c r="A23" s="771"/>
      <c r="B23" s="767" t="s">
        <v>843</v>
      </c>
      <c r="C23" s="768">
        <f>NPV(0.06,K23:CL23)</f>
        <v>9018.0144637424273</v>
      </c>
      <c r="D23" s="769">
        <f>F23/C23</f>
        <v>6.5094151529713713</v>
      </c>
      <c r="E23" s="768">
        <v>58702</v>
      </c>
      <c r="F23" s="768">
        <f>SUM(H23:CL23)</f>
        <v>58701.999999999949</v>
      </c>
      <c r="K23" s="767">
        <v>0</v>
      </c>
      <c r="L23" s="767">
        <v>0</v>
      </c>
      <c r="M23" s="767">
        <v>0</v>
      </c>
      <c r="N23" s="767">
        <v>0</v>
      </c>
      <c r="O23" s="767">
        <v>0</v>
      </c>
      <c r="P23" s="767">
        <v>0</v>
      </c>
      <c r="Q23" s="767">
        <v>0</v>
      </c>
      <c r="R23" s="770">
        <f t="shared" ref="R23:CC23" si="0">$E$10/COUNT($R$10:$CJ$10)</f>
        <v>826.78873239436621</v>
      </c>
      <c r="S23" s="770">
        <f t="shared" si="0"/>
        <v>826.78873239436621</v>
      </c>
      <c r="T23" s="770">
        <f t="shared" si="0"/>
        <v>826.78873239436621</v>
      </c>
      <c r="U23" s="770">
        <f t="shared" si="0"/>
        <v>826.78873239436621</v>
      </c>
      <c r="V23" s="770">
        <f t="shared" si="0"/>
        <v>826.78873239436621</v>
      </c>
      <c r="W23" s="770">
        <f t="shared" si="0"/>
        <v>826.78873239436621</v>
      </c>
      <c r="X23" s="770">
        <f t="shared" si="0"/>
        <v>826.78873239436621</v>
      </c>
      <c r="Y23" s="770">
        <f t="shared" si="0"/>
        <v>826.78873239436621</v>
      </c>
      <c r="Z23" s="770">
        <f t="shared" si="0"/>
        <v>826.78873239436621</v>
      </c>
      <c r="AA23" s="770">
        <f t="shared" si="0"/>
        <v>826.78873239436621</v>
      </c>
      <c r="AB23" s="770">
        <f t="shared" si="0"/>
        <v>826.78873239436621</v>
      </c>
      <c r="AC23" s="770">
        <f t="shared" si="0"/>
        <v>826.78873239436621</v>
      </c>
      <c r="AD23" s="770">
        <f t="shared" si="0"/>
        <v>826.78873239436621</v>
      </c>
      <c r="AE23" s="770">
        <f t="shared" si="0"/>
        <v>826.78873239436621</v>
      </c>
      <c r="AF23" s="770">
        <f t="shared" si="0"/>
        <v>826.78873239436621</v>
      </c>
      <c r="AG23" s="770">
        <f t="shared" si="0"/>
        <v>826.78873239436621</v>
      </c>
      <c r="AH23" s="770">
        <f t="shared" si="0"/>
        <v>826.78873239436621</v>
      </c>
      <c r="AI23" s="770">
        <f t="shared" si="0"/>
        <v>826.78873239436621</v>
      </c>
      <c r="AJ23" s="770">
        <f t="shared" si="0"/>
        <v>826.78873239436621</v>
      </c>
      <c r="AK23" s="770">
        <f t="shared" si="0"/>
        <v>826.78873239436621</v>
      </c>
      <c r="AL23" s="770">
        <f t="shared" si="0"/>
        <v>826.78873239436621</v>
      </c>
      <c r="AM23" s="770">
        <f t="shared" si="0"/>
        <v>826.78873239436621</v>
      </c>
      <c r="AN23" s="770">
        <f t="shared" si="0"/>
        <v>826.78873239436621</v>
      </c>
      <c r="AO23" s="770">
        <f t="shared" si="0"/>
        <v>826.78873239436621</v>
      </c>
      <c r="AP23" s="770">
        <f t="shared" si="0"/>
        <v>826.78873239436621</v>
      </c>
      <c r="AQ23" s="770">
        <f t="shared" si="0"/>
        <v>826.78873239436621</v>
      </c>
      <c r="AR23" s="770">
        <f t="shared" si="0"/>
        <v>826.78873239436621</v>
      </c>
      <c r="AS23" s="770">
        <f t="shared" si="0"/>
        <v>826.78873239436621</v>
      </c>
      <c r="AT23" s="770">
        <f t="shared" si="0"/>
        <v>826.78873239436621</v>
      </c>
      <c r="AU23" s="770">
        <f t="shared" si="0"/>
        <v>826.78873239436621</v>
      </c>
      <c r="AV23" s="770">
        <f t="shared" si="0"/>
        <v>826.78873239436621</v>
      </c>
      <c r="AW23" s="770">
        <f t="shared" si="0"/>
        <v>826.78873239436621</v>
      </c>
      <c r="AX23" s="770">
        <f t="shared" si="0"/>
        <v>826.78873239436621</v>
      </c>
      <c r="AY23" s="770">
        <f t="shared" si="0"/>
        <v>826.78873239436621</v>
      </c>
      <c r="AZ23" s="770">
        <f t="shared" si="0"/>
        <v>826.78873239436621</v>
      </c>
      <c r="BA23" s="770">
        <f t="shared" si="0"/>
        <v>826.78873239436621</v>
      </c>
      <c r="BB23" s="770">
        <f t="shared" si="0"/>
        <v>826.78873239436621</v>
      </c>
      <c r="BC23" s="770">
        <f t="shared" si="0"/>
        <v>826.78873239436621</v>
      </c>
      <c r="BD23" s="770">
        <f t="shared" si="0"/>
        <v>826.78873239436621</v>
      </c>
      <c r="BE23" s="770">
        <f t="shared" si="0"/>
        <v>826.78873239436621</v>
      </c>
      <c r="BF23" s="770">
        <f t="shared" si="0"/>
        <v>826.78873239436621</v>
      </c>
      <c r="BG23" s="770">
        <f t="shared" si="0"/>
        <v>826.78873239436621</v>
      </c>
      <c r="BH23" s="770">
        <f t="shared" si="0"/>
        <v>826.78873239436621</v>
      </c>
      <c r="BI23" s="770">
        <f t="shared" si="0"/>
        <v>826.78873239436621</v>
      </c>
      <c r="BJ23" s="770">
        <f t="shared" si="0"/>
        <v>826.78873239436621</v>
      </c>
      <c r="BK23" s="770">
        <f t="shared" si="0"/>
        <v>826.78873239436621</v>
      </c>
      <c r="BL23" s="770">
        <f t="shared" si="0"/>
        <v>826.78873239436621</v>
      </c>
      <c r="BM23" s="770">
        <f t="shared" si="0"/>
        <v>826.78873239436621</v>
      </c>
      <c r="BN23" s="770">
        <f t="shared" si="0"/>
        <v>826.78873239436621</v>
      </c>
      <c r="BO23" s="770">
        <f t="shared" si="0"/>
        <v>826.78873239436621</v>
      </c>
      <c r="BP23" s="770">
        <f t="shared" si="0"/>
        <v>826.78873239436621</v>
      </c>
      <c r="BQ23" s="770">
        <f t="shared" si="0"/>
        <v>826.78873239436621</v>
      </c>
      <c r="BR23" s="770">
        <f t="shared" si="0"/>
        <v>826.78873239436621</v>
      </c>
      <c r="BS23" s="770">
        <f t="shared" si="0"/>
        <v>826.78873239436621</v>
      </c>
      <c r="BT23" s="770">
        <f t="shared" si="0"/>
        <v>826.78873239436621</v>
      </c>
      <c r="BU23" s="770">
        <f t="shared" si="0"/>
        <v>826.78873239436621</v>
      </c>
      <c r="BV23" s="770">
        <f t="shared" si="0"/>
        <v>826.78873239436621</v>
      </c>
      <c r="BW23" s="770">
        <f t="shared" si="0"/>
        <v>826.78873239436621</v>
      </c>
      <c r="BX23" s="770">
        <f t="shared" si="0"/>
        <v>826.78873239436621</v>
      </c>
      <c r="BY23" s="770">
        <f t="shared" si="0"/>
        <v>826.78873239436621</v>
      </c>
      <c r="BZ23" s="770">
        <f t="shared" si="0"/>
        <v>826.78873239436621</v>
      </c>
      <c r="CA23" s="770">
        <f t="shared" si="0"/>
        <v>826.78873239436621</v>
      </c>
      <c r="CB23" s="770">
        <f t="shared" si="0"/>
        <v>826.78873239436621</v>
      </c>
      <c r="CC23" s="770">
        <f t="shared" si="0"/>
        <v>826.78873239436621</v>
      </c>
      <c r="CD23" s="770">
        <f t="shared" ref="CD23:CJ23" si="1">$E$10/COUNT($R$10:$CJ$10)</f>
        <v>826.78873239436621</v>
      </c>
      <c r="CE23" s="770">
        <f t="shared" si="1"/>
        <v>826.78873239436621</v>
      </c>
      <c r="CF23" s="770">
        <f t="shared" si="1"/>
        <v>826.78873239436621</v>
      </c>
      <c r="CG23" s="770">
        <f t="shared" si="1"/>
        <v>826.78873239436621</v>
      </c>
      <c r="CH23" s="770">
        <f t="shared" si="1"/>
        <v>826.78873239436621</v>
      </c>
      <c r="CI23" s="770">
        <f t="shared" si="1"/>
        <v>826.78873239436621</v>
      </c>
      <c r="CJ23" s="770">
        <f t="shared" si="1"/>
        <v>826.78873239436621</v>
      </c>
    </row>
    <row r="24" spans="1:245" s="771" customFormat="1" ht="15.75">
      <c r="B24" s="771" t="s">
        <v>749</v>
      </c>
      <c r="C24" s="768">
        <f>NPV(0.06,J24:CL24)*1.06</f>
        <v>58702</v>
      </c>
      <c r="D24" s="769">
        <f>F24/C24</f>
        <v>1</v>
      </c>
      <c r="E24" s="768">
        <v>58702</v>
      </c>
      <c r="F24" s="768">
        <f>SUM(H24:CL24)</f>
        <v>58702</v>
      </c>
      <c r="G24" s="767"/>
      <c r="H24" s="767"/>
      <c r="I24" s="767"/>
      <c r="J24" s="772"/>
      <c r="K24" s="770">
        <f>E24</f>
        <v>58702</v>
      </c>
      <c r="L24" s="767"/>
      <c r="M24" s="767"/>
      <c r="N24" s="767"/>
      <c r="O24" s="767"/>
      <c r="P24" s="767"/>
      <c r="Q24" s="767"/>
      <c r="R24" s="770"/>
      <c r="S24" s="770"/>
      <c r="T24" s="770"/>
      <c r="U24" s="770"/>
      <c r="V24" s="770"/>
      <c r="W24" s="770"/>
      <c r="X24" s="770"/>
      <c r="Y24" s="770"/>
      <c r="Z24" s="770"/>
      <c r="AA24" s="770"/>
      <c r="AB24" s="770"/>
      <c r="AC24" s="770"/>
      <c r="AD24" s="770"/>
      <c r="AE24" s="770"/>
      <c r="AF24" s="770"/>
      <c r="AG24" s="770"/>
      <c r="AH24" s="770"/>
      <c r="AI24" s="770"/>
      <c r="AJ24" s="770"/>
      <c r="AK24" s="770"/>
      <c r="AL24" s="770"/>
      <c r="AM24" s="770"/>
      <c r="AN24" s="770"/>
      <c r="AO24" s="770"/>
      <c r="AP24" s="770"/>
      <c r="AQ24" s="770"/>
      <c r="AR24" s="770"/>
      <c r="AS24" s="770"/>
      <c r="AT24" s="770"/>
      <c r="AU24" s="770"/>
      <c r="AV24" s="770"/>
      <c r="AW24" s="770"/>
      <c r="AX24" s="770"/>
      <c r="AY24" s="770"/>
      <c r="AZ24" s="770"/>
      <c r="BA24" s="770"/>
      <c r="BB24" s="770"/>
      <c r="BC24" s="770"/>
      <c r="BD24" s="770"/>
      <c r="BE24" s="770"/>
      <c r="BF24" s="770"/>
      <c r="BG24" s="770"/>
      <c r="BH24" s="770"/>
      <c r="BI24" s="770"/>
      <c r="BJ24" s="770"/>
      <c r="BK24" s="770"/>
      <c r="BL24" s="770"/>
      <c r="BM24" s="770"/>
      <c r="BN24" s="770"/>
      <c r="BO24" s="770"/>
      <c r="BP24" s="770"/>
      <c r="BQ24" s="770"/>
      <c r="BR24" s="770"/>
      <c r="BS24" s="770"/>
      <c r="BT24" s="770"/>
      <c r="BU24" s="770"/>
      <c r="BV24" s="770"/>
      <c r="BW24" s="770"/>
      <c r="BX24" s="770"/>
      <c r="BY24" s="770"/>
      <c r="BZ24" s="770"/>
      <c r="CA24" s="770"/>
      <c r="CB24" s="770"/>
      <c r="CC24" s="770"/>
      <c r="CD24" s="770"/>
      <c r="CE24" s="770"/>
      <c r="CF24" s="770"/>
      <c r="CG24" s="770"/>
      <c r="CH24" s="770"/>
      <c r="CI24" s="770"/>
      <c r="CJ24" s="770"/>
      <c r="CK24" s="767"/>
      <c r="CL24" s="767"/>
      <c r="CM24" s="767"/>
      <c r="CN24" s="767"/>
      <c r="CO24" s="767"/>
      <c r="CP24" s="767"/>
      <c r="CQ24" s="767"/>
      <c r="CR24" s="767"/>
      <c r="CS24" s="767"/>
      <c r="CT24" s="767"/>
      <c r="CU24" s="767"/>
      <c r="CV24" s="767"/>
      <c r="CW24" s="767"/>
      <c r="CX24" s="767"/>
      <c r="CY24" s="767"/>
      <c r="CZ24" s="767"/>
      <c r="DA24" s="767"/>
      <c r="DB24" s="767"/>
      <c r="DC24" s="767"/>
      <c r="DD24" s="767"/>
      <c r="DE24" s="767"/>
      <c r="DF24" s="767"/>
      <c r="DG24" s="767"/>
      <c r="DH24" s="767"/>
      <c r="DI24" s="767"/>
      <c r="DJ24" s="767"/>
      <c r="DK24" s="767"/>
      <c r="DL24" s="767"/>
      <c r="DM24" s="767"/>
      <c r="DN24" s="767"/>
      <c r="DO24" s="767"/>
      <c r="DP24" s="767"/>
      <c r="DQ24" s="767"/>
      <c r="DR24" s="767"/>
      <c r="DS24" s="767"/>
      <c r="DT24" s="767"/>
      <c r="DU24" s="767"/>
      <c r="DV24" s="767"/>
      <c r="DW24" s="767"/>
      <c r="DX24" s="767"/>
      <c r="DY24" s="767"/>
      <c r="DZ24" s="767"/>
      <c r="EA24" s="767"/>
      <c r="EB24" s="767"/>
      <c r="EC24" s="767"/>
      <c r="ED24" s="767"/>
      <c r="EE24" s="767"/>
      <c r="EF24" s="767"/>
      <c r="EG24" s="767"/>
      <c r="EH24" s="767"/>
      <c r="EI24" s="767"/>
      <c r="EJ24" s="767"/>
      <c r="EK24" s="767"/>
      <c r="EL24" s="767"/>
      <c r="EM24" s="767"/>
      <c r="EN24" s="767"/>
      <c r="EO24" s="767"/>
      <c r="EP24" s="767"/>
      <c r="EQ24" s="767"/>
      <c r="ER24" s="767"/>
      <c r="ES24" s="767"/>
    </row>
    <row r="25" spans="1:245" s="767" customFormat="1" ht="15.75">
      <c r="A25" s="771"/>
      <c r="B25" s="767" t="s">
        <v>751</v>
      </c>
      <c r="C25" s="768">
        <f>NPV(0.06,J25:CL25)*1.06</f>
        <v>15753.337720373818</v>
      </c>
      <c r="D25" s="769">
        <f>F25/C25</f>
        <v>3.7263214337162727</v>
      </c>
      <c r="E25" s="768">
        <v>58702</v>
      </c>
      <c r="F25" s="768">
        <f>SUM(H25:CL25)</f>
        <v>58702.000000000007</v>
      </c>
      <c r="K25" s="770">
        <f>$E25/11</f>
        <v>5336.545454545455</v>
      </c>
      <c r="L25" s="767">
        <v>0</v>
      </c>
      <c r="M25" s="767">
        <v>0</v>
      </c>
      <c r="N25" s="767">
        <v>0</v>
      </c>
      <c r="O25" s="767">
        <v>0</v>
      </c>
      <c r="P25" s="767">
        <v>0</v>
      </c>
      <c r="Q25" s="767">
        <v>0</v>
      </c>
      <c r="R25" s="770">
        <f>$E25/11</f>
        <v>5336.545454545455</v>
      </c>
      <c r="S25" s="767">
        <v>0</v>
      </c>
      <c r="T25" s="767">
        <v>0</v>
      </c>
      <c r="U25" s="767">
        <v>0</v>
      </c>
      <c r="V25" s="767">
        <v>0</v>
      </c>
      <c r="W25" s="767">
        <v>0</v>
      </c>
      <c r="X25" s="767">
        <v>0</v>
      </c>
      <c r="Y25" s="770">
        <f>$E25/11</f>
        <v>5336.545454545455</v>
      </c>
      <c r="Z25" s="767">
        <v>0</v>
      </c>
      <c r="AA25" s="767">
        <v>0</v>
      </c>
      <c r="AB25" s="767">
        <v>0</v>
      </c>
      <c r="AC25" s="767">
        <v>0</v>
      </c>
      <c r="AD25" s="767">
        <v>0</v>
      </c>
      <c r="AE25" s="767">
        <v>0</v>
      </c>
      <c r="AF25" s="770">
        <f>$E25/11</f>
        <v>5336.545454545455</v>
      </c>
      <c r="AG25" s="767">
        <v>0</v>
      </c>
      <c r="AH25" s="767">
        <v>0</v>
      </c>
      <c r="AI25" s="767">
        <v>0</v>
      </c>
      <c r="AJ25" s="767">
        <v>0</v>
      </c>
      <c r="AK25" s="767">
        <v>0</v>
      </c>
      <c r="AL25" s="767">
        <v>0</v>
      </c>
      <c r="AM25" s="770">
        <f>$E25/11</f>
        <v>5336.545454545455</v>
      </c>
      <c r="AN25" s="767">
        <v>0</v>
      </c>
      <c r="AO25" s="767">
        <v>0</v>
      </c>
      <c r="AP25" s="767">
        <v>0</v>
      </c>
      <c r="AQ25" s="767">
        <v>0</v>
      </c>
      <c r="AR25" s="767">
        <v>0</v>
      </c>
      <c r="AS25" s="767">
        <v>0</v>
      </c>
      <c r="AT25" s="770">
        <f>$E25/11</f>
        <v>5336.545454545455</v>
      </c>
      <c r="AU25" s="767">
        <v>0</v>
      </c>
      <c r="AV25" s="767">
        <v>0</v>
      </c>
      <c r="AW25" s="767">
        <v>0</v>
      </c>
      <c r="AX25" s="767">
        <v>0</v>
      </c>
      <c r="AY25" s="767">
        <v>0</v>
      </c>
      <c r="AZ25" s="767">
        <v>0</v>
      </c>
      <c r="BA25" s="770">
        <f>$E25/11</f>
        <v>5336.545454545455</v>
      </c>
      <c r="BB25" s="767">
        <v>0</v>
      </c>
      <c r="BC25" s="767">
        <v>0</v>
      </c>
      <c r="BD25" s="767">
        <v>0</v>
      </c>
      <c r="BE25" s="767">
        <v>0</v>
      </c>
      <c r="BF25" s="767">
        <v>0</v>
      </c>
      <c r="BG25" s="767">
        <v>0</v>
      </c>
      <c r="BH25" s="770">
        <f>$E25/11</f>
        <v>5336.545454545455</v>
      </c>
      <c r="BI25" s="767">
        <v>0</v>
      </c>
      <c r="BJ25" s="767">
        <v>0</v>
      </c>
      <c r="BK25" s="767">
        <v>0</v>
      </c>
      <c r="BL25" s="767">
        <v>0</v>
      </c>
      <c r="BM25" s="767">
        <v>0</v>
      </c>
      <c r="BN25" s="767">
        <v>0</v>
      </c>
      <c r="BO25" s="770">
        <f>$E25/11</f>
        <v>5336.545454545455</v>
      </c>
      <c r="BP25" s="767">
        <v>0</v>
      </c>
      <c r="BQ25" s="767">
        <v>0</v>
      </c>
      <c r="BR25" s="767">
        <v>0</v>
      </c>
      <c r="BS25" s="767">
        <v>0</v>
      </c>
      <c r="BT25" s="767">
        <v>0</v>
      </c>
      <c r="BU25" s="767">
        <v>0</v>
      </c>
      <c r="BV25" s="770">
        <f>$E25/11</f>
        <v>5336.545454545455</v>
      </c>
      <c r="BW25" s="767">
        <v>0</v>
      </c>
      <c r="BX25" s="767">
        <v>0</v>
      </c>
      <c r="BY25" s="767">
        <v>0</v>
      </c>
      <c r="BZ25" s="767">
        <v>0</v>
      </c>
      <c r="CA25" s="767">
        <v>0</v>
      </c>
      <c r="CB25" s="767">
        <v>0</v>
      </c>
      <c r="CC25" s="770">
        <f>$E25/11</f>
        <v>5336.545454545455</v>
      </c>
      <c r="CD25" s="767">
        <v>0</v>
      </c>
      <c r="CE25" s="767">
        <v>0</v>
      </c>
      <c r="CF25" s="767">
        <v>0</v>
      </c>
      <c r="CG25" s="767">
        <v>0</v>
      </c>
      <c r="CH25" s="767">
        <v>0</v>
      </c>
      <c r="CI25" s="767">
        <v>0</v>
      </c>
      <c r="CJ25" s="767">
        <v>0</v>
      </c>
    </row>
    <row r="26" spans="1:245" s="767" customFormat="1" ht="15.75">
      <c r="A26" s="771"/>
      <c r="C26" s="768"/>
      <c r="E26" s="768"/>
      <c r="F26" s="773"/>
      <c r="M26" s="770"/>
      <c r="N26" s="770"/>
      <c r="O26" s="770"/>
      <c r="P26" s="770"/>
      <c r="Q26" s="770"/>
      <c r="R26" s="770"/>
      <c r="S26" s="770"/>
      <c r="T26" s="770"/>
      <c r="U26" s="770"/>
      <c r="V26" s="770"/>
      <c r="W26" s="770"/>
      <c r="X26" s="770"/>
      <c r="Y26" s="770"/>
      <c r="Z26" s="770"/>
      <c r="AA26" s="770"/>
      <c r="AB26" s="770"/>
      <c r="AC26" s="770"/>
      <c r="AD26" s="770"/>
      <c r="AE26" s="770"/>
      <c r="AF26" s="770"/>
      <c r="AG26" s="770"/>
      <c r="AH26" s="770"/>
      <c r="AI26" s="770"/>
      <c r="AJ26" s="770"/>
      <c r="AK26" s="770"/>
      <c r="AL26" s="770"/>
      <c r="AM26" s="770"/>
    </row>
    <row r="27" spans="1:245" s="767" customFormat="1" ht="15">
      <c r="A27" s="771"/>
      <c r="C27" s="772"/>
      <c r="E27" s="812"/>
      <c r="F27" s="774"/>
    </row>
    <row r="32" spans="1:245" ht="18">
      <c r="B32" s="707" t="s">
        <v>870</v>
      </c>
    </row>
    <row r="33" spans="1:245" ht="18.75">
      <c r="B33" s="723"/>
      <c r="C33" s="723" t="s">
        <v>779</v>
      </c>
      <c r="D33" s="723" t="s">
        <v>275</v>
      </c>
      <c r="E33" s="723" t="s">
        <v>831</v>
      </c>
      <c r="F33" s="723" t="s">
        <v>727</v>
      </c>
      <c r="J33" s="710">
        <v>2019</v>
      </c>
      <c r="K33" s="710">
        <v>2020</v>
      </c>
      <c r="L33" s="710">
        <v>2021</v>
      </c>
      <c r="M33" s="710">
        <v>2022</v>
      </c>
      <c r="N33" s="710">
        <v>2023</v>
      </c>
      <c r="O33" s="710">
        <v>2024</v>
      </c>
      <c r="P33" s="710">
        <v>2025</v>
      </c>
      <c r="Q33" s="710">
        <v>2026</v>
      </c>
      <c r="R33" s="710">
        <v>2027</v>
      </c>
      <c r="S33" s="710">
        <v>2028</v>
      </c>
      <c r="T33" s="710">
        <v>2029</v>
      </c>
      <c r="U33" s="710">
        <v>2030</v>
      </c>
      <c r="V33" s="710">
        <v>2031</v>
      </c>
      <c r="W33" s="710">
        <v>2032</v>
      </c>
      <c r="X33" s="710">
        <v>2033</v>
      </c>
      <c r="Y33" s="710">
        <v>2034</v>
      </c>
      <c r="Z33" s="710">
        <v>2035</v>
      </c>
      <c r="AA33" s="710">
        <v>2036</v>
      </c>
      <c r="AB33" s="710">
        <v>2037</v>
      </c>
      <c r="AC33" s="710">
        <v>2038</v>
      </c>
      <c r="AD33" s="710">
        <v>2039</v>
      </c>
      <c r="AE33" s="710">
        <v>2040</v>
      </c>
      <c r="AF33" s="710">
        <v>2041</v>
      </c>
      <c r="AG33" s="710">
        <v>2042</v>
      </c>
      <c r="AH33" s="710">
        <v>2043</v>
      </c>
      <c r="AI33" s="710">
        <v>2044</v>
      </c>
      <c r="AJ33" s="710">
        <v>2045</v>
      </c>
      <c r="AK33" s="710">
        <v>2046</v>
      </c>
      <c r="AL33" s="710">
        <v>2047</v>
      </c>
      <c r="AM33" s="710">
        <v>2048</v>
      </c>
      <c r="AN33" s="710">
        <v>2049</v>
      </c>
      <c r="AO33" s="710">
        <v>2050</v>
      </c>
      <c r="AP33" s="710">
        <v>2051</v>
      </c>
      <c r="AQ33" s="710">
        <v>2052</v>
      </c>
      <c r="AR33" s="710">
        <v>2053</v>
      </c>
      <c r="AS33" s="710">
        <v>2054</v>
      </c>
      <c r="AT33" s="710">
        <v>2055</v>
      </c>
      <c r="AU33" s="710">
        <v>2056</v>
      </c>
      <c r="AV33" s="710">
        <v>2057</v>
      </c>
      <c r="AW33" s="710">
        <v>2058</v>
      </c>
      <c r="AX33" s="710">
        <v>2059</v>
      </c>
      <c r="AY33" s="710">
        <v>2060</v>
      </c>
      <c r="AZ33" s="710">
        <v>2061</v>
      </c>
      <c r="BA33" s="710">
        <v>2062</v>
      </c>
      <c r="BB33" s="710">
        <v>2063</v>
      </c>
      <c r="BC33" s="710">
        <v>2064</v>
      </c>
      <c r="BD33" s="710">
        <v>2065</v>
      </c>
      <c r="BE33" s="710">
        <v>2066</v>
      </c>
      <c r="BF33" s="710">
        <v>2067</v>
      </c>
      <c r="BG33" s="710">
        <v>2068</v>
      </c>
      <c r="BH33" s="710">
        <v>2069</v>
      </c>
      <c r="BI33" s="710">
        <v>2070</v>
      </c>
      <c r="BJ33" s="710">
        <v>2071</v>
      </c>
      <c r="BK33" s="710">
        <v>2072</v>
      </c>
      <c r="BL33" s="710">
        <v>2073</v>
      </c>
      <c r="BM33" s="710">
        <v>2074</v>
      </c>
      <c r="BN33" s="710">
        <v>2075</v>
      </c>
      <c r="BO33" s="710">
        <v>2076</v>
      </c>
      <c r="BP33" s="710">
        <v>2077</v>
      </c>
      <c r="BQ33" s="710">
        <v>2078</v>
      </c>
      <c r="BR33" s="710">
        <v>2079</v>
      </c>
      <c r="BS33" s="710">
        <v>2080</v>
      </c>
      <c r="BT33" s="710">
        <v>2081</v>
      </c>
      <c r="BU33" s="710">
        <v>2082</v>
      </c>
      <c r="BV33" s="710">
        <v>2083</v>
      </c>
      <c r="BW33" s="710">
        <v>2084</v>
      </c>
      <c r="BX33" s="710">
        <v>2085</v>
      </c>
      <c r="BY33" s="710">
        <v>2086</v>
      </c>
      <c r="BZ33" s="710">
        <v>2087</v>
      </c>
      <c r="CA33" s="710">
        <v>2088</v>
      </c>
      <c r="CB33" s="710">
        <v>2089</v>
      </c>
      <c r="CC33" s="710">
        <v>2090</v>
      </c>
      <c r="CD33" s="710">
        <v>2091</v>
      </c>
      <c r="CE33" s="710">
        <v>2092</v>
      </c>
      <c r="CF33" s="710">
        <v>2093</v>
      </c>
      <c r="CG33" s="710">
        <v>2094</v>
      </c>
      <c r="CH33" s="710">
        <v>2095</v>
      </c>
      <c r="CI33" s="710">
        <v>2096</v>
      </c>
      <c r="CJ33" s="710">
        <v>2097</v>
      </c>
      <c r="CK33" s="710">
        <v>2098</v>
      </c>
      <c r="CL33" s="710">
        <v>2099</v>
      </c>
      <c r="CM33" s="711"/>
      <c r="CN33" s="711"/>
      <c r="CO33" s="711"/>
      <c r="CP33" s="711"/>
      <c r="CQ33" s="711"/>
      <c r="CR33" s="711"/>
      <c r="CS33" s="711"/>
      <c r="CT33" s="711"/>
      <c r="CU33" s="711"/>
      <c r="CV33" s="711"/>
      <c r="CW33" s="711"/>
      <c r="CX33" s="711"/>
      <c r="CY33" s="711"/>
      <c r="CZ33" s="711"/>
      <c r="DA33" s="711"/>
      <c r="DB33" s="711"/>
      <c r="DC33" s="711"/>
      <c r="DD33" s="711"/>
      <c r="DE33" s="711"/>
      <c r="DF33" s="711"/>
      <c r="DG33" s="711"/>
      <c r="DH33" s="711"/>
      <c r="DI33" s="711"/>
      <c r="DJ33" s="711"/>
      <c r="DK33" s="711"/>
      <c r="DL33" s="711"/>
      <c r="DM33" s="711"/>
      <c r="DN33" s="711"/>
      <c r="DO33" s="711"/>
      <c r="DP33" s="711"/>
      <c r="DQ33" s="711"/>
      <c r="DR33" s="711"/>
      <c r="DS33" s="711"/>
      <c r="DT33" s="711"/>
      <c r="DU33" s="711"/>
      <c r="DV33" s="711"/>
      <c r="DW33" s="711"/>
      <c r="DX33" s="711"/>
      <c r="DY33" s="711"/>
      <c r="DZ33" s="711"/>
      <c r="EA33" s="711"/>
      <c r="EB33" s="711"/>
      <c r="EC33" s="711"/>
      <c r="ED33" s="711"/>
      <c r="EE33" s="711"/>
      <c r="EF33" s="711"/>
      <c r="EG33" s="711"/>
      <c r="EH33" s="711"/>
      <c r="EI33" s="711"/>
      <c r="EJ33" s="711"/>
      <c r="EK33" s="711"/>
      <c r="EL33" s="711"/>
      <c r="EM33" s="711"/>
      <c r="EN33" s="711"/>
      <c r="EO33" s="711"/>
      <c r="EP33" s="711"/>
      <c r="EQ33" s="711"/>
      <c r="ER33" s="711"/>
      <c r="ES33" s="711"/>
      <c r="ET33" s="711"/>
      <c r="EU33" s="711"/>
      <c r="EV33" s="711"/>
      <c r="EW33" s="711"/>
      <c r="EX33" s="711"/>
      <c r="EY33" s="711"/>
      <c r="EZ33" s="711"/>
      <c r="FA33" s="711"/>
      <c r="FB33" s="711"/>
      <c r="FC33" s="711"/>
      <c r="FD33" s="711"/>
      <c r="FE33" s="711"/>
      <c r="FF33" s="711"/>
      <c r="FG33" s="711"/>
      <c r="FH33" s="711"/>
      <c r="FI33" s="711"/>
      <c r="FJ33" s="711"/>
      <c r="FK33" s="711"/>
      <c r="FL33" s="711"/>
      <c r="FM33" s="711"/>
      <c r="FN33" s="711"/>
      <c r="FO33" s="711"/>
      <c r="FP33" s="711"/>
      <c r="FQ33" s="711"/>
      <c r="FR33" s="711"/>
      <c r="FS33" s="711"/>
      <c r="FT33" s="711"/>
      <c r="FU33" s="711"/>
      <c r="FV33" s="711"/>
      <c r="FW33" s="711"/>
      <c r="FX33" s="711"/>
      <c r="FY33" s="711"/>
      <c r="FZ33" s="711"/>
      <c r="GA33" s="711"/>
      <c r="GB33" s="711"/>
      <c r="GC33" s="711"/>
      <c r="GD33" s="711"/>
      <c r="GE33" s="711"/>
      <c r="GF33" s="711"/>
      <c r="GG33" s="711"/>
      <c r="GH33" s="711"/>
      <c r="GI33" s="711"/>
      <c r="GJ33" s="711"/>
      <c r="GK33" s="711"/>
      <c r="GL33" s="711"/>
      <c r="GM33" s="711"/>
      <c r="GN33" s="711"/>
      <c r="GO33" s="711"/>
      <c r="GP33" s="711"/>
      <c r="GQ33" s="711"/>
      <c r="GR33" s="711"/>
      <c r="GS33" s="711"/>
      <c r="GT33" s="711"/>
      <c r="GU33" s="711"/>
      <c r="GV33" s="711"/>
      <c r="GW33" s="711"/>
      <c r="GX33" s="711"/>
      <c r="GY33" s="711"/>
      <c r="GZ33" s="711"/>
      <c r="HA33" s="711"/>
      <c r="HB33" s="711"/>
      <c r="HC33" s="711"/>
      <c r="HD33" s="711"/>
      <c r="HE33" s="711"/>
      <c r="HF33" s="711"/>
      <c r="HG33" s="711"/>
      <c r="HH33" s="711"/>
      <c r="HI33" s="711"/>
      <c r="HJ33" s="711"/>
      <c r="HK33" s="711"/>
      <c r="HL33" s="711"/>
      <c r="HM33" s="711"/>
      <c r="HN33" s="711"/>
      <c r="HO33" s="711"/>
      <c r="HP33" s="711"/>
      <c r="HQ33" s="711"/>
      <c r="HR33" s="711"/>
      <c r="HS33" s="711"/>
      <c r="HT33" s="711"/>
      <c r="HU33" s="711"/>
      <c r="HV33" s="711"/>
      <c r="HW33" s="711"/>
      <c r="HX33" s="711"/>
      <c r="HY33" s="711"/>
      <c r="HZ33" s="711"/>
      <c r="IA33" s="711"/>
      <c r="IB33" s="711"/>
      <c r="IC33" s="711"/>
      <c r="ID33" s="711"/>
      <c r="IE33" s="711"/>
      <c r="IF33" s="711"/>
      <c r="IG33" s="711"/>
      <c r="IH33" s="711"/>
      <c r="II33" s="711"/>
      <c r="IJ33" s="711"/>
      <c r="IK33" s="711"/>
    </row>
    <row r="34" spans="1:245" s="782" customFormat="1" ht="24.95" customHeight="1">
      <c r="B34" s="767" t="s">
        <v>702</v>
      </c>
      <c r="C34" s="713">
        <f>D34*1000000/Tables!F$5/2.47105</f>
        <v>9335.1390334189764</v>
      </c>
      <c r="D34" s="714">
        <f>NPV(0.06,K34:CL34)</f>
        <v>26.989086510980055</v>
      </c>
      <c r="F34" s="785">
        <f>SUM(K34:CL34)</f>
        <v>762.01519379433807</v>
      </c>
      <c r="G34" s="779"/>
      <c r="H34" s="779"/>
      <c r="I34" s="779"/>
      <c r="J34" s="779"/>
      <c r="K34" s="780">
        <f t="shared" ref="K34:AP34" si="2">K10</f>
        <v>0</v>
      </c>
      <c r="L34" s="780">
        <f t="shared" si="2"/>
        <v>0</v>
      </c>
      <c r="M34" s="780">
        <f t="shared" si="2"/>
        <v>0</v>
      </c>
      <c r="N34" s="780">
        <f t="shared" si="2"/>
        <v>0</v>
      </c>
      <c r="O34" s="780">
        <f t="shared" si="2"/>
        <v>0</v>
      </c>
      <c r="P34" s="780">
        <f t="shared" si="2"/>
        <v>0</v>
      </c>
      <c r="Q34" s="780">
        <f t="shared" si="2"/>
        <v>-1.4</v>
      </c>
      <c r="R34" s="780">
        <f t="shared" si="2"/>
        <v>-1.4</v>
      </c>
      <c r="S34" s="780">
        <f t="shared" si="2"/>
        <v>-5.2</v>
      </c>
      <c r="T34" s="780">
        <f t="shared" si="2"/>
        <v>-5.0654159061084201</v>
      </c>
      <c r="U34" s="780">
        <f t="shared" si="2"/>
        <v>-19.515514131612843</v>
      </c>
      <c r="V34" s="780">
        <f t="shared" si="2"/>
        <v>-2.5155141316128429</v>
      </c>
      <c r="W34" s="780">
        <f t="shared" si="2"/>
        <v>-22.515514131612843</v>
      </c>
      <c r="X34" s="780">
        <f t="shared" si="2"/>
        <v>-3.4475784532208777</v>
      </c>
      <c r="Y34" s="780">
        <f t="shared" si="2"/>
        <v>3.5844858683871585</v>
      </c>
      <c r="Z34" s="780">
        <f t="shared" si="2"/>
        <v>-8.81551413161284</v>
      </c>
      <c r="AA34" s="780">
        <f t="shared" si="2"/>
        <v>-12.115514131612844</v>
      </c>
      <c r="AB34" s="780">
        <f t="shared" si="2"/>
        <v>10.002170290497709</v>
      </c>
      <c r="AC34" s="780">
        <f t="shared" si="2"/>
        <v>7.0844858683871585</v>
      </c>
      <c r="AD34" s="780">
        <f t="shared" si="2"/>
        <v>7.3844858683871557</v>
      </c>
      <c r="AE34" s="780">
        <f t="shared" si="2"/>
        <v>13.384485868387157</v>
      </c>
      <c r="AF34" s="780">
        <f t="shared" si="2"/>
        <v>7.9524215467791208</v>
      </c>
      <c r="AG34" s="780">
        <f t="shared" si="2"/>
        <v>13.584485868387157</v>
      </c>
      <c r="AH34" s="780">
        <f t="shared" si="2"/>
        <v>2.8844858683871557</v>
      </c>
      <c r="AI34" s="780">
        <f t="shared" si="2"/>
        <v>-7.5155141316128429</v>
      </c>
      <c r="AJ34" s="780">
        <f t="shared" si="2"/>
        <v>14.15242154677912</v>
      </c>
      <c r="AK34" s="780">
        <f t="shared" si="2"/>
        <v>19.984485868387157</v>
      </c>
      <c r="AL34" s="780">
        <f t="shared" si="2"/>
        <v>6.2844858683871578</v>
      </c>
      <c r="AM34" s="780">
        <f t="shared" si="2"/>
        <v>11.684485868387156</v>
      </c>
      <c r="AN34" s="780">
        <f t="shared" si="2"/>
        <v>17.252421546779118</v>
      </c>
      <c r="AO34" s="780">
        <f t="shared" si="2"/>
        <v>0.8844858683871557</v>
      </c>
      <c r="AP34" s="780">
        <f t="shared" si="2"/>
        <v>19.884485868387159</v>
      </c>
      <c r="AQ34" s="780">
        <f t="shared" ref="AQ34:BV34" si="3">AQ10</f>
        <v>-16.615514131612844</v>
      </c>
      <c r="AR34" s="780">
        <f t="shared" si="3"/>
        <v>13.80217029049771</v>
      </c>
      <c r="AS34" s="780">
        <f t="shared" si="3"/>
        <v>15.084485868387157</v>
      </c>
      <c r="AT34" s="780">
        <f t="shared" si="3"/>
        <v>11.184485868387156</v>
      </c>
      <c r="AU34" s="780">
        <f t="shared" si="3"/>
        <v>15.184485868387156</v>
      </c>
      <c r="AV34" s="780">
        <f t="shared" si="3"/>
        <v>19.452421546779121</v>
      </c>
      <c r="AW34" s="780">
        <f t="shared" si="3"/>
        <v>13.884485868387157</v>
      </c>
      <c r="AX34" s="780">
        <f t="shared" si="3"/>
        <v>18.184485868387156</v>
      </c>
      <c r="AY34" s="780">
        <f t="shared" si="3"/>
        <v>16.284485868387158</v>
      </c>
      <c r="AZ34" s="780">
        <f t="shared" si="3"/>
        <v>-0.74757845322088201</v>
      </c>
      <c r="BA34" s="780">
        <f t="shared" si="3"/>
        <v>11.884485868387156</v>
      </c>
      <c r="BB34" s="780">
        <f t="shared" si="3"/>
        <v>12.384485868387156</v>
      </c>
      <c r="BC34" s="780">
        <f t="shared" si="3"/>
        <v>18.484485868387157</v>
      </c>
      <c r="BD34" s="780">
        <f t="shared" si="3"/>
        <v>19.274415516628359</v>
      </c>
      <c r="BE34" s="780">
        <f t="shared" si="3"/>
        <v>16.884485868387159</v>
      </c>
      <c r="BF34" s="780">
        <f t="shared" si="3"/>
        <v>17.384485868387159</v>
      </c>
      <c r="BG34" s="780">
        <f t="shared" si="3"/>
        <v>11.984485868387157</v>
      </c>
      <c r="BH34" s="780">
        <f t="shared" si="3"/>
        <v>17.204425566879618</v>
      </c>
      <c r="BI34" s="780">
        <f t="shared" si="3"/>
        <v>15.284485868387158</v>
      </c>
      <c r="BJ34" s="780">
        <f t="shared" si="3"/>
        <v>16.984485868387157</v>
      </c>
      <c r="BK34" s="780">
        <f t="shared" si="3"/>
        <v>17.584485868387155</v>
      </c>
      <c r="BL34" s="780">
        <f t="shared" si="3"/>
        <v>25.034234612105745</v>
      </c>
      <c r="BM34" s="780">
        <f t="shared" si="3"/>
        <v>20.084485868387155</v>
      </c>
      <c r="BN34" s="780">
        <f t="shared" si="3"/>
        <v>11.284485868387158</v>
      </c>
      <c r="BO34" s="780">
        <f t="shared" si="3"/>
        <v>9.5844858683871585</v>
      </c>
      <c r="BP34" s="780">
        <f t="shared" si="3"/>
        <v>19.60442556687962</v>
      </c>
      <c r="BQ34" s="780">
        <f t="shared" si="3"/>
        <v>20.984485868387157</v>
      </c>
      <c r="BR34" s="780">
        <f t="shared" si="3"/>
        <v>-4.5155141316128429</v>
      </c>
      <c r="BS34" s="780">
        <f t="shared" si="3"/>
        <v>16.484485868387157</v>
      </c>
      <c r="BT34" s="780">
        <f t="shared" si="3"/>
        <v>13.904425566879617</v>
      </c>
      <c r="BU34" s="780">
        <f t="shared" si="3"/>
        <v>12.884485868387156</v>
      </c>
      <c r="BV34" s="780">
        <f t="shared" si="3"/>
        <v>-0.6155141316128443</v>
      </c>
      <c r="BW34" s="780">
        <f t="shared" ref="BW34:CL34" si="4">BW10</f>
        <v>5.2844858683871578</v>
      </c>
      <c r="BX34" s="780">
        <f t="shared" si="4"/>
        <v>17.704425566879618</v>
      </c>
      <c r="BY34" s="780">
        <f t="shared" si="4"/>
        <v>20.284485868387158</v>
      </c>
      <c r="BZ34" s="780">
        <f t="shared" si="4"/>
        <v>16.884485868387159</v>
      </c>
      <c r="CA34" s="780">
        <f t="shared" si="4"/>
        <v>14.884485868387157</v>
      </c>
      <c r="CB34" s="780">
        <f t="shared" si="4"/>
        <v>12.004425566879618</v>
      </c>
      <c r="CC34" s="780">
        <f t="shared" si="4"/>
        <v>16.384485868387159</v>
      </c>
      <c r="CD34" s="780">
        <f t="shared" si="4"/>
        <v>17.384485868387159</v>
      </c>
      <c r="CE34" s="780">
        <f t="shared" si="4"/>
        <v>20.684485868387156</v>
      </c>
      <c r="CF34" s="780">
        <f t="shared" si="4"/>
        <v>24.764244662357008</v>
      </c>
      <c r="CG34" s="780">
        <f t="shared" si="4"/>
        <v>17.984485868387157</v>
      </c>
      <c r="CH34" s="780">
        <f t="shared" si="4"/>
        <v>13.184485868387156</v>
      </c>
      <c r="CI34" s="780">
        <f t="shared" si="4"/>
        <v>15.884485868387157</v>
      </c>
      <c r="CJ34" s="780">
        <f t="shared" si="4"/>
        <v>22.904425566879617</v>
      </c>
      <c r="CK34" s="780">
        <f t="shared" si="4"/>
        <v>24.335674905775079</v>
      </c>
      <c r="CL34" s="780">
        <f t="shared" si="4"/>
        <v>9.2178374528875402</v>
      </c>
    </row>
    <row r="35" spans="1:245" s="782" customFormat="1" ht="24.95" customHeight="1">
      <c r="B35" s="767" t="s">
        <v>835</v>
      </c>
      <c r="C35" s="713">
        <v>9415</v>
      </c>
      <c r="F35" s="785">
        <f>-C35*1170*2.47105/1000000</f>
        <v>-27.2199748275</v>
      </c>
      <c r="G35" s="779"/>
      <c r="H35" s="779"/>
      <c r="I35" s="779"/>
      <c r="J35" s="779"/>
      <c r="K35" s="780">
        <f>F35</f>
        <v>-27.2199748275</v>
      </c>
      <c r="L35" s="780"/>
      <c r="M35" s="780"/>
      <c r="N35" s="780"/>
      <c r="O35" s="780"/>
      <c r="P35" s="780"/>
      <c r="Q35" s="780"/>
      <c r="R35" s="780"/>
      <c r="S35" s="780"/>
      <c r="T35" s="780"/>
      <c r="U35" s="780"/>
      <c r="V35" s="780"/>
      <c r="W35" s="780"/>
      <c r="X35" s="780"/>
      <c r="Y35" s="780"/>
      <c r="Z35" s="780"/>
      <c r="AA35" s="780"/>
      <c r="AB35" s="780"/>
      <c r="AC35" s="780"/>
      <c r="AD35" s="780"/>
      <c r="AE35" s="780"/>
      <c r="AF35" s="780"/>
      <c r="AG35" s="780"/>
      <c r="AH35" s="780"/>
      <c r="AI35" s="780"/>
      <c r="AJ35" s="780"/>
      <c r="AK35" s="780"/>
      <c r="AL35" s="780"/>
      <c r="AM35" s="780"/>
      <c r="AN35" s="780"/>
      <c r="AO35" s="780"/>
      <c r="AP35" s="780"/>
      <c r="AQ35" s="780"/>
      <c r="AR35" s="780"/>
      <c r="AS35" s="780"/>
      <c r="AT35" s="780"/>
      <c r="AU35" s="780"/>
      <c r="AV35" s="780"/>
      <c r="AW35" s="780"/>
      <c r="AX35" s="780"/>
      <c r="AY35" s="780"/>
      <c r="AZ35" s="780"/>
      <c r="BA35" s="780"/>
      <c r="BB35" s="780"/>
      <c r="BC35" s="780"/>
      <c r="BD35" s="780"/>
      <c r="BE35" s="780"/>
      <c r="BF35" s="780"/>
      <c r="BG35" s="780"/>
      <c r="BH35" s="780"/>
      <c r="BI35" s="780"/>
      <c r="BJ35" s="780"/>
      <c r="BK35" s="780"/>
      <c r="BL35" s="780"/>
      <c r="BM35" s="780"/>
      <c r="BN35" s="780"/>
      <c r="BO35" s="780"/>
      <c r="BP35" s="780"/>
      <c r="BQ35" s="780"/>
      <c r="BR35" s="780"/>
      <c r="BS35" s="780"/>
      <c r="BT35" s="780"/>
      <c r="BU35" s="780"/>
      <c r="BV35" s="780"/>
      <c r="BW35" s="780"/>
      <c r="BX35" s="780"/>
      <c r="BY35" s="780"/>
      <c r="BZ35" s="780"/>
      <c r="CA35" s="780"/>
      <c r="CB35" s="780"/>
      <c r="CC35" s="780"/>
      <c r="CD35" s="780"/>
      <c r="CE35" s="780"/>
      <c r="CF35" s="780"/>
      <c r="CG35" s="780"/>
      <c r="CH35" s="780"/>
      <c r="CI35" s="780"/>
      <c r="CJ35" s="780"/>
      <c r="CK35" s="780"/>
      <c r="CL35" s="780"/>
    </row>
    <row r="36" spans="1:245" s="782" customFormat="1" ht="24.95" customHeight="1">
      <c r="A36" s="787">
        <v>0.06</v>
      </c>
      <c r="B36" s="767" t="s">
        <v>839</v>
      </c>
      <c r="C36" s="775"/>
      <c r="D36" s="776"/>
      <c r="F36" s="785">
        <f>SUM(K36:CL36)</f>
        <v>-731.53432185980625</v>
      </c>
      <c r="G36" s="779"/>
      <c r="H36" s="779"/>
      <c r="I36" s="779"/>
      <c r="J36" s="779"/>
      <c r="K36" s="780">
        <f t="shared" ref="K36:AP36" si="5">J39*$A36</f>
        <v>0</v>
      </c>
      <c r="L36" s="780">
        <f t="shared" si="5"/>
        <v>-1.63319848965</v>
      </c>
      <c r="M36" s="780">
        <f t="shared" si="5"/>
        <v>-1.7311903990289998</v>
      </c>
      <c r="N36" s="780">
        <f t="shared" si="5"/>
        <v>-1.8350618229707398</v>
      </c>
      <c r="O36" s="780">
        <f t="shared" si="5"/>
        <v>-1.945165532348984</v>
      </c>
      <c r="P36" s="780">
        <f t="shared" si="5"/>
        <v>-2.0618754642899231</v>
      </c>
      <c r="Q36" s="780">
        <f t="shared" si="5"/>
        <v>-2.1855879921473189</v>
      </c>
      <c r="R36" s="780">
        <f t="shared" si="5"/>
        <v>-2.4032432716761578</v>
      </c>
      <c r="S36" s="780">
        <f t="shared" si="5"/>
        <v>-2.6339578679767275</v>
      </c>
      <c r="T36" s="780">
        <f t="shared" si="5"/>
        <v>-3.1133553400553313</v>
      </c>
      <c r="U36" s="780">
        <f t="shared" si="5"/>
        <v>-3.6131993634561512</v>
      </c>
      <c r="V36" s="780">
        <f t="shared" si="5"/>
        <v>-5.0360500985971939</v>
      </c>
      <c r="W36" s="780">
        <f t="shared" si="5"/>
        <v>-5.4936718778466993</v>
      </c>
      <c r="X36" s="780">
        <f t="shared" si="5"/>
        <v>-7.2147509638511744</v>
      </c>
      <c r="Y36" s="780">
        <f t="shared" si="5"/>
        <v>-7.8606963700912944</v>
      </c>
      <c r="Z36" s="780">
        <f t="shared" si="5"/>
        <v>-8.1172690001935432</v>
      </c>
      <c r="AA36" s="780">
        <f t="shared" si="5"/>
        <v>-9.149103913538827</v>
      </c>
      <c r="AB36" s="780">
        <f t="shared" si="5"/>
        <v>-10.446788921684831</v>
      </c>
      <c r="AC36" s="780">
        <f t="shared" si="5"/>
        <v>-10.473466039556058</v>
      </c>
      <c r="AD36" s="780">
        <f t="shared" si="5"/>
        <v>-10.676804849826192</v>
      </c>
      <c r="AE36" s="780">
        <f t="shared" si="5"/>
        <v>-10.874343988712534</v>
      </c>
      <c r="AF36" s="780">
        <f t="shared" si="5"/>
        <v>-10.723735475932056</v>
      </c>
      <c r="AG36" s="780">
        <f t="shared" si="5"/>
        <v>-10.890014311681233</v>
      </c>
      <c r="AH36" s="780">
        <f t="shared" si="5"/>
        <v>-10.728346018278877</v>
      </c>
      <c r="AI36" s="780">
        <f t="shared" si="5"/>
        <v>-11.198977627272381</v>
      </c>
      <c r="AJ36" s="780">
        <f t="shared" si="5"/>
        <v>-12.335375058242397</v>
      </c>
      <c r="AK36" s="780">
        <f t="shared" si="5"/>
        <v>-12.226352268930194</v>
      </c>
      <c r="AL36" s="780">
        <f t="shared" si="5"/>
        <v>-11.760864252962776</v>
      </c>
      <c r="AM36" s="780">
        <f t="shared" si="5"/>
        <v>-12.089446956037312</v>
      </c>
      <c r="AN36" s="780">
        <f t="shared" si="5"/>
        <v>-12.113744621296322</v>
      </c>
      <c r="AO36" s="780">
        <f t="shared" si="5"/>
        <v>-11.805424005767353</v>
      </c>
      <c r="AP36" s="780">
        <f t="shared" si="5"/>
        <v>-12.460680294010166</v>
      </c>
      <c r="AQ36" s="780">
        <f t="shared" ref="AQ36:BV36" si="6">AP39*$A36</f>
        <v>-12.015251959547546</v>
      </c>
      <c r="AR36" s="780">
        <f t="shared" si="6"/>
        <v>-13.763005850454073</v>
      </c>
      <c r="AS36" s="780">
        <f t="shared" si="6"/>
        <v>-13.760655984051455</v>
      </c>
      <c r="AT36" s="780">
        <f t="shared" si="6"/>
        <v>-13.681226190991314</v>
      </c>
      <c r="AU36" s="780">
        <f t="shared" si="6"/>
        <v>-13.831030610347563</v>
      </c>
      <c r="AV36" s="780">
        <f t="shared" si="6"/>
        <v>-13.749823294865188</v>
      </c>
      <c r="AW36" s="780">
        <f t="shared" si="6"/>
        <v>-13.40766739975035</v>
      </c>
      <c r="AX36" s="780">
        <f t="shared" si="6"/>
        <v>-13.379058291632141</v>
      </c>
      <c r="AY36" s="780">
        <f t="shared" si="6"/>
        <v>-13.090732637026841</v>
      </c>
      <c r="AZ36" s="780">
        <f t="shared" si="6"/>
        <v>-12.899107443145221</v>
      </c>
      <c r="BA36" s="780">
        <f t="shared" si="6"/>
        <v>-13.719254238142984</v>
      </c>
      <c r="BB36" s="780">
        <f t="shared" si="6"/>
        <v>-13.829340340328335</v>
      </c>
      <c r="BC36" s="780">
        <f t="shared" si="6"/>
        <v>-13.916031608644804</v>
      </c>
      <c r="BD36" s="780">
        <f t="shared" si="6"/>
        <v>-13.641924353060265</v>
      </c>
      <c r="BE36" s="780">
        <f t="shared" si="6"/>
        <v>-13.303974883246179</v>
      </c>
      <c r="BF36" s="780">
        <f t="shared" si="6"/>
        <v>-13.089144224137719</v>
      </c>
      <c r="BG36" s="780">
        <f t="shared" si="6"/>
        <v>-12.831423725482752</v>
      </c>
      <c r="BH36" s="780">
        <f t="shared" si="6"/>
        <v>-12.882239996908488</v>
      </c>
      <c r="BI36" s="780">
        <f t="shared" si="6"/>
        <v>-12.622908862710219</v>
      </c>
      <c r="BJ36" s="780">
        <f t="shared" si="6"/>
        <v>-12.463214242369602</v>
      </c>
      <c r="BK36" s="780">
        <f t="shared" si="6"/>
        <v>-12.191937944808549</v>
      </c>
      <c r="BL36" s="780">
        <f t="shared" si="6"/>
        <v>-11.868385069393833</v>
      </c>
      <c r="BM36" s="780">
        <f t="shared" si="6"/>
        <v>-11.078434096831117</v>
      </c>
      <c r="BN36" s="780">
        <f t="shared" si="6"/>
        <v>-10.538070990537756</v>
      </c>
      <c r="BO36" s="780">
        <f t="shared" si="6"/>
        <v>-10.493286097866793</v>
      </c>
      <c r="BP36" s="780">
        <f t="shared" si="6"/>
        <v>-10.547814111635571</v>
      </c>
      <c r="BQ36" s="780">
        <f t="shared" si="6"/>
        <v>-10.004417424320927</v>
      </c>
      <c r="BR36" s="780">
        <f t="shared" si="6"/>
        <v>-9.3456133176769534</v>
      </c>
      <c r="BS36" s="780">
        <f t="shared" si="6"/>
        <v>-10.185408890071242</v>
      </c>
      <c r="BT36" s="780">
        <f t="shared" si="6"/>
        <v>-9.8074642713722877</v>
      </c>
      <c r="BU36" s="780">
        <f t="shared" si="6"/>
        <v>-9.5616465936418482</v>
      </c>
      <c r="BV36" s="780">
        <f t="shared" si="6"/>
        <v>-9.3622762371571291</v>
      </c>
      <c r="BW36" s="780">
        <f t="shared" ref="BW36:CL36" si="7">BV39*$A36</f>
        <v>-9.9620515847202302</v>
      </c>
      <c r="BX36" s="780">
        <f t="shared" si="7"/>
        <v>-10.242705527700215</v>
      </c>
      <c r="BY36" s="780">
        <f t="shared" si="7"/>
        <v>-9.7950023253494507</v>
      </c>
      <c r="BZ36" s="780">
        <f t="shared" si="7"/>
        <v>-9.1656333127671878</v>
      </c>
      <c r="CA36" s="780">
        <f t="shared" si="7"/>
        <v>-8.7025021594299901</v>
      </c>
      <c r="CB36" s="780">
        <f t="shared" si="7"/>
        <v>-8.3315831368925597</v>
      </c>
      <c r="CC36" s="780">
        <f t="shared" si="7"/>
        <v>-8.1112125910933344</v>
      </c>
      <c r="CD36" s="780">
        <f t="shared" si="7"/>
        <v>-7.6148161944557051</v>
      </c>
      <c r="CE36" s="780">
        <f t="shared" si="7"/>
        <v>-7.0286360140198179</v>
      </c>
      <c r="CF36" s="780">
        <f t="shared" si="7"/>
        <v>-6.2092850227577765</v>
      </c>
      <c r="CG36" s="780">
        <f t="shared" si="7"/>
        <v>-5.0959874443818229</v>
      </c>
      <c r="CH36" s="780">
        <f t="shared" si="7"/>
        <v>-4.3226775389415026</v>
      </c>
      <c r="CI36" s="780">
        <f t="shared" si="7"/>
        <v>-3.7909690391747639</v>
      </c>
      <c r="CJ36" s="780">
        <f t="shared" si="7"/>
        <v>-3.0653580294220206</v>
      </c>
      <c r="CK36" s="780">
        <f t="shared" si="7"/>
        <v>-1.8750139771745649</v>
      </c>
      <c r="CL36" s="780">
        <f t="shared" si="7"/>
        <v>-0.52737432145853391</v>
      </c>
    </row>
    <row r="37" spans="1:245" s="782" customFormat="1" ht="24.95" customHeight="1">
      <c r="B37" s="767" t="s">
        <v>833</v>
      </c>
      <c r="C37" s="775"/>
      <c r="D37" s="776"/>
      <c r="E37" s="777"/>
      <c r="F37" s="785">
        <f>SUM(K37:CL37)</f>
        <v>-3.3600059999119729</v>
      </c>
      <c r="G37" s="779"/>
      <c r="H37" s="779"/>
      <c r="I37" s="779"/>
      <c r="J37" s="779"/>
      <c r="K37" s="780">
        <f t="shared" ref="K37:AP37" si="8">MIN(0,(K34)*$A36)*0.5</f>
        <v>0</v>
      </c>
      <c r="L37" s="780">
        <f t="shared" si="8"/>
        <v>0</v>
      </c>
      <c r="M37" s="780">
        <f t="shared" si="8"/>
        <v>0</v>
      </c>
      <c r="N37" s="780">
        <f t="shared" si="8"/>
        <v>0</v>
      </c>
      <c r="O37" s="780">
        <f t="shared" si="8"/>
        <v>0</v>
      </c>
      <c r="P37" s="780">
        <f t="shared" si="8"/>
        <v>0</v>
      </c>
      <c r="Q37" s="780">
        <f t="shared" si="8"/>
        <v>-4.1999999999999996E-2</v>
      </c>
      <c r="R37" s="780">
        <f t="shared" si="8"/>
        <v>-4.1999999999999996E-2</v>
      </c>
      <c r="S37" s="780">
        <f t="shared" si="8"/>
        <v>-0.156</v>
      </c>
      <c r="T37" s="780">
        <f t="shared" si="8"/>
        <v>-0.15196247718325259</v>
      </c>
      <c r="U37" s="780">
        <f t="shared" si="8"/>
        <v>-0.5854654239483853</v>
      </c>
      <c r="V37" s="780">
        <f t="shared" si="8"/>
        <v>-7.5465423948385277E-2</v>
      </c>
      <c r="W37" s="780">
        <f t="shared" si="8"/>
        <v>-0.67546542394838527</v>
      </c>
      <c r="X37" s="780">
        <f t="shared" si="8"/>
        <v>-0.10342735359662633</v>
      </c>
      <c r="Y37" s="780">
        <f t="shared" si="8"/>
        <v>0</v>
      </c>
      <c r="Z37" s="780">
        <f t="shared" si="8"/>
        <v>-0.26446542394838518</v>
      </c>
      <c r="AA37" s="780">
        <f t="shared" si="8"/>
        <v>-0.36346542394838532</v>
      </c>
      <c r="AB37" s="780">
        <f t="shared" si="8"/>
        <v>0</v>
      </c>
      <c r="AC37" s="780">
        <f t="shared" si="8"/>
        <v>0</v>
      </c>
      <c r="AD37" s="780">
        <f t="shared" si="8"/>
        <v>0</v>
      </c>
      <c r="AE37" s="780">
        <f t="shared" si="8"/>
        <v>0</v>
      </c>
      <c r="AF37" s="780">
        <f t="shared" si="8"/>
        <v>0</v>
      </c>
      <c r="AG37" s="780">
        <f t="shared" si="8"/>
        <v>0</v>
      </c>
      <c r="AH37" s="780">
        <f t="shared" si="8"/>
        <v>0</v>
      </c>
      <c r="AI37" s="780">
        <f t="shared" si="8"/>
        <v>-0.22546542394838529</v>
      </c>
      <c r="AJ37" s="780">
        <f t="shared" si="8"/>
        <v>0</v>
      </c>
      <c r="AK37" s="780">
        <f t="shared" si="8"/>
        <v>0</v>
      </c>
      <c r="AL37" s="780">
        <f t="shared" si="8"/>
        <v>0</v>
      </c>
      <c r="AM37" s="780">
        <f t="shared" si="8"/>
        <v>0</v>
      </c>
      <c r="AN37" s="780">
        <f t="shared" si="8"/>
        <v>0</v>
      </c>
      <c r="AO37" s="780">
        <f t="shared" si="8"/>
        <v>0</v>
      </c>
      <c r="AP37" s="780">
        <f t="shared" si="8"/>
        <v>0</v>
      </c>
      <c r="AQ37" s="780">
        <f t="shared" ref="AQ37:BV37" si="9">MIN(0,(AQ34)*$A36)*0.5</f>
        <v>-0.49846542394838533</v>
      </c>
      <c r="AR37" s="780">
        <f t="shared" si="9"/>
        <v>0</v>
      </c>
      <c r="AS37" s="780">
        <f t="shared" si="9"/>
        <v>0</v>
      </c>
      <c r="AT37" s="780">
        <f t="shared" si="9"/>
        <v>0</v>
      </c>
      <c r="AU37" s="780">
        <f t="shared" si="9"/>
        <v>0</v>
      </c>
      <c r="AV37" s="780">
        <f t="shared" si="9"/>
        <v>0</v>
      </c>
      <c r="AW37" s="780">
        <f t="shared" si="9"/>
        <v>0</v>
      </c>
      <c r="AX37" s="780">
        <f t="shared" si="9"/>
        <v>0</v>
      </c>
      <c r="AY37" s="780">
        <f t="shared" si="9"/>
        <v>0</v>
      </c>
      <c r="AZ37" s="780">
        <f t="shared" si="9"/>
        <v>-2.2427353596626461E-2</v>
      </c>
      <c r="BA37" s="780">
        <f t="shared" si="9"/>
        <v>0</v>
      </c>
      <c r="BB37" s="780">
        <f t="shared" si="9"/>
        <v>0</v>
      </c>
      <c r="BC37" s="780">
        <f t="shared" si="9"/>
        <v>0</v>
      </c>
      <c r="BD37" s="780">
        <f t="shared" si="9"/>
        <v>0</v>
      </c>
      <c r="BE37" s="780">
        <f t="shared" si="9"/>
        <v>0</v>
      </c>
      <c r="BF37" s="780">
        <f t="shared" si="9"/>
        <v>0</v>
      </c>
      <c r="BG37" s="780">
        <f t="shared" si="9"/>
        <v>0</v>
      </c>
      <c r="BH37" s="780">
        <f t="shared" si="9"/>
        <v>0</v>
      </c>
      <c r="BI37" s="780">
        <f t="shared" si="9"/>
        <v>0</v>
      </c>
      <c r="BJ37" s="780">
        <f t="shared" si="9"/>
        <v>0</v>
      </c>
      <c r="BK37" s="780">
        <f t="shared" si="9"/>
        <v>0</v>
      </c>
      <c r="BL37" s="780">
        <f t="shared" si="9"/>
        <v>0</v>
      </c>
      <c r="BM37" s="780">
        <f t="shared" si="9"/>
        <v>0</v>
      </c>
      <c r="BN37" s="780">
        <f t="shared" si="9"/>
        <v>0</v>
      </c>
      <c r="BO37" s="780">
        <f t="shared" si="9"/>
        <v>0</v>
      </c>
      <c r="BP37" s="780">
        <f t="shared" si="9"/>
        <v>0</v>
      </c>
      <c r="BQ37" s="780">
        <f t="shared" si="9"/>
        <v>0</v>
      </c>
      <c r="BR37" s="780">
        <f t="shared" si="9"/>
        <v>-0.13546542394838529</v>
      </c>
      <c r="BS37" s="780">
        <f t="shared" si="9"/>
        <v>0</v>
      </c>
      <c r="BT37" s="780">
        <f t="shared" si="9"/>
        <v>0</v>
      </c>
      <c r="BU37" s="780">
        <f t="shared" si="9"/>
        <v>0</v>
      </c>
      <c r="BV37" s="780">
        <f t="shared" si="9"/>
        <v>-1.8465423948385327E-2</v>
      </c>
      <c r="BW37" s="780">
        <f t="shared" ref="BW37:CL37" si="10">MIN(0,(BW34)*$A36)*0.5</f>
        <v>0</v>
      </c>
      <c r="BX37" s="780">
        <f t="shared" si="10"/>
        <v>0</v>
      </c>
      <c r="BY37" s="780">
        <f t="shared" si="10"/>
        <v>0</v>
      </c>
      <c r="BZ37" s="780">
        <f t="shared" si="10"/>
        <v>0</v>
      </c>
      <c r="CA37" s="780">
        <f t="shared" si="10"/>
        <v>0</v>
      </c>
      <c r="CB37" s="780">
        <f t="shared" si="10"/>
        <v>0</v>
      </c>
      <c r="CC37" s="780">
        <f t="shared" si="10"/>
        <v>0</v>
      </c>
      <c r="CD37" s="780">
        <f t="shared" si="10"/>
        <v>0</v>
      </c>
      <c r="CE37" s="780">
        <f t="shared" si="10"/>
        <v>0</v>
      </c>
      <c r="CF37" s="780">
        <f t="shared" si="10"/>
        <v>0</v>
      </c>
      <c r="CG37" s="780">
        <f t="shared" si="10"/>
        <v>0</v>
      </c>
      <c r="CH37" s="780">
        <f t="shared" si="10"/>
        <v>0</v>
      </c>
      <c r="CI37" s="780">
        <f t="shared" si="10"/>
        <v>0</v>
      </c>
      <c r="CJ37" s="780">
        <f t="shared" si="10"/>
        <v>0</v>
      </c>
      <c r="CK37" s="780">
        <f t="shared" si="10"/>
        <v>0</v>
      </c>
      <c r="CL37" s="780">
        <f t="shared" si="10"/>
        <v>0</v>
      </c>
    </row>
    <row r="38" spans="1:245" s="782" customFormat="1" ht="24.95" customHeight="1">
      <c r="B38" s="767" t="s">
        <v>834</v>
      </c>
      <c r="C38" s="775"/>
      <c r="D38" s="776"/>
      <c r="E38" s="777"/>
      <c r="F38" s="785">
        <f>SUM(K38:CL38)</f>
        <v>-9.9108892879893773E-2</v>
      </c>
      <c r="G38" s="779"/>
      <c r="H38" s="779"/>
      <c r="I38" s="779"/>
      <c r="J38" s="779" t="s">
        <v>840</v>
      </c>
      <c r="K38" s="783">
        <f t="shared" ref="K38:Q38" si="11">SUM(K34:K37)</f>
        <v>-27.2199748275</v>
      </c>
      <c r="L38" s="783">
        <f t="shared" si="11"/>
        <v>-1.63319848965</v>
      </c>
      <c r="M38" s="783">
        <f t="shared" si="11"/>
        <v>-1.7311903990289998</v>
      </c>
      <c r="N38" s="783">
        <f t="shared" si="11"/>
        <v>-1.8350618229707398</v>
      </c>
      <c r="O38" s="783">
        <f t="shared" si="11"/>
        <v>-1.945165532348984</v>
      </c>
      <c r="P38" s="783">
        <f t="shared" si="11"/>
        <v>-2.0618754642899231</v>
      </c>
      <c r="Q38" s="783">
        <f t="shared" si="11"/>
        <v>-3.6275879921473186</v>
      </c>
      <c r="R38" s="783">
        <f>SUM(R34:R37)</f>
        <v>-3.8452432716761575</v>
      </c>
      <c r="S38" s="783">
        <f t="shared" ref="S38:CD38" si="12">SUM(S34:S37)</f>
        <v>-7.9899578679767274</v>
      </c>
      <c r="T38" s="783">
        <f t="shared" si="12"/>
        <v>-8.330733723347004</v>
      </c>
      <c r="U38" s="783">
        <f t="shared" si="12"/>
        <v>-23.714178919017378</v>
      </c>
      <c r="V38" s="783">
        <f t="shared" si="12"/>
        <v>-7.6270296541584219</v>
      </c>
      <c r="W38" s="783">
        <f t="shared" si="12"/>
        <v>-28.684651433407925</v>
      </c>
      <c r="X38" s="783">
        <f t="shared" si="12"/>
        <v>-10.765756770668677</v>
      </c>
      <c r="Y38" s="783">
        <f t="shared" si="12"/>
        <v>-4.2762105017041359</v>
      </c>
      <c r="Z38" s="783">
        <f t="shared" si="12"/>
        <v>-17.197248555754765</v>
      </c>
      <c r="AA38" s="783">
        <f t="shared" si="12"/>
        <v>-21.628083469100055</v>
      </c>
      <c r="AB38" s="783">
        <f t="shared" si="12"/>
        <v>-0.4446186311871223</v>
      </c>
      <c r="AC38" s="783">
        <f t="shared" si="12"/>
        <v>-3.3889801711688996</v>
      </c>
      <c r="AD38" s="783">
        <f t="shared" si="12"/>
        <v>-3.2923189814390366</v>
      </c>
      <c r="AE38" s="783">
        <f t="shared" si="12"/>
        <v>2.5101418796746238</v>
      </c>
      <c r="AF38" s="783">
        <f t="shared" si="12"/>
        <v>-2.7713139291529352</v>
      </c>
      <c r="AG38" s="783">
        <f t="shared" si="12"/>
        <v>2.6944715567059241</v>
      </c>
      <c r="AH38" s="783">
        <f t="shared" si="12"/>
        <v>-7.8438601498917215</v>
      </c>
      <c r="AI38" s="783">
        <f t="shared" si="12"/>
        <v>-18.939957182833609</v>
      </c>
      <c r="AJ38" s="783">
        <f t="shared" si="12"/>
        <v>1.8170464885367235</v>
      </c>
      <c r="AK38" s="783">
        <f t="shared" si="12"/>
        <v>7.7581335994569631</v>
      </c>
      <c r="AL38" s="783">
        <f t="shared" si="12"/>
        <v>-5.476378384575618</v>
      </c>
      <c r="AM38" s="783">
        <f t="shared" si="12"/>
        <v>-0.4049610876501557</v>
      </c>
      <c r="AN38" s="783">
        <f t="shared" si="12"/>
        <v>5.1386769254827964</v>
      </c>
      <c r="AO38" s="783">
        <f t="shared" si="12"/>
        <v>-10.920938137380197</v>
      </c>
      <c r="AP38" s="783">
        <f t="shared" si="12"/>
        <v>7.4238055743769937</v>
      </c>
      <c r="AQ38" s="783">
        <f t="shared" si="12"/>
        <v>-29.129231515108774</v>
      </c>
      <c r="AR38" s="783">
        <f t="shared" si="12"/>
        <v>3.9164440043636617E-2</v>
      </c>
      <c r="AS38" s="783">
        <f t="shared" si="12"/>
        <v>1.3238298843357015</v>
      </c>
      <c r="AT38" s="783">
        <f t="shared" si="12"/>
        <v>-2.4967403226041576</v>
      </c>
      <c r="AU38" s="783">
        <f t="shared" si="12"/>
        <v>1.3534552580395935</v>
      </c>
      <c r="AV38" s="783">
        <f t="shared" si="12"/>
        <v>5.7025982519139333</v>
      </c>
      <c r="AW38" s="783">
        <f t="shared" si="12"/>
        <v>0.47681846863680732</v>
      </c>
      <c r="AX38" s="783">
        <f t="shared" si="12"/>
        <v>4.8054275767550152</v>
      </c>
      <c r="AY38" s="783">
        <f t="shared" si="12"/>
        <v>3.1937532313603167</v>
      </c>
      <c r="AZ38" s="783">
        <f t="shared" si="12"/>
        <v>-13.669113249962729</v>
      </c>
      <c r="BA38" s="783">
        <f t="shared" si="12"/>
        <v>-1.8347683697558281</v>
      </c>
      <c r="BB38" s="783">
        <f t="shared" si="12"/>
        <v>-1.4448544719411789</v>
      </c>
      <c r="BC38" s="783">
        <f t="shared" si="12"/>
        <v>4.568454259742353</v>
      </c>
      <c r="BD38" s="783">
        <f t="shared" si="12"/>
        <v>5.6324911635680941</v>
      </c>
      <c r="BE38" s="783">
        <f t="shared" si="12"/>
        <v>3.5805109851409807</v>
      </c>
      <c r="BF38" s="783">
        <f t="shared" si="12"/>
        <v>4.2953416442494401</v>
      </c>
      <c r="BG38" s="783">
        <f t="shared" si="12"/>
        <v>-0.84693785709559499</v>
      </c>
      <c r="BH38" s="783">
        <f t="shared" si="12"/>
        <v>4.3221855699711291</v>
      </c>
      <c r="BI38" s="783">
        <f t="shared" si="12"/>
        <v>2.6615770056769392</v>
      </c>
      <c r="BJ38" s="783">
        <f t="shared" si="12"/>
        <v>4.5212716260175547</v>
      </c>
      <c r="BK38" s="783">
        <f t="shared" si="12"/>
        <v>5.392547923578606</v>
      </c>
      <c r="BL38" s="783">
        <f t="shared" si="12"/>
        <v>13.165849542711912</v>
      </c>
      <c r="BM38" s="783">
        <f t="shared" si="12"/>
        <v>9.006051771556038</v>
      </c>
      <c r="BN38" s="783">
        <f t="shared" si="12"/>
        <v>0.74641487784940175</v>
      </c>
      <c r="BO38" s="783">
        <f t="shared" si="12"/>
        <v>-0.90880022947963468</v>
      </c>
      <c r="BP38" s="783">
        <f t="shared" si="12"/>
        <v>9.0566114552440489</v>
      </c>
      <c r="BQ38" s="783">
        <f t="shared" si="12"/>
        <v>10.98006844406623</v>
      </c>
      <c r="BR38" s="783">
        <f t="shared" si="12"/>
        <v>-13.996592873238182</v>
      </c>
      <c r="BS38" s="783">
        <f t="shared" si="12"/>
        <v>6.2990769783159148</v>
      </c>
      <c r="BT38" s="783">
        <f t="shared" si="12"/>
        <v>4.0969612955073291</v>
      </c>
      <c r="BU38" s="783">
        <f t="shared" si="12"/>
        <v>3.3228392747453075</v>
      </c>
      <c r="BV38" s="783">
        <f t="shared" si="12"/>
        <v>-9.9962557927183582</v>
      </c>
      <c r="BW38" s="783">
        <f t="shared" si="12"/>
        <v>-4.6775657163330724</v>
      </c>
      <c r="BX38" s="783">
        <f t="shared" si="12"/>
        <v>7.4617200391794025</v>
      </c>
      <c r="BY38" s="783">
        <f t="shared" si="12"/>
        <v>10.489483543037707</v>
      </c>
      <c r="BZ38" s="783">
        <f t="shared" si="12"/>
        <v>7.7188525556199714</v>
      </c>
      <c r="CA38" s="783">
        <f t="shared" si="12"/>
        <v>6.1819837089571674</v>
      </c>
      <c r="CB38" s="783">
        <f t="shared" si="12"/>
        <v>3.6728424299870586</v>
      </c>
      <c r="CC38" s="783">
        <f t="shared" si="12"/>
        <v>8.2732732772938249</v>
      </c>
      <c r="CD38" s="783">
        <f t="shared" si="12"/>
        <v>9.7696696739314532</v>
      </c>
      <c r="CE38" s="783">
        <f t="shared" ref="CE38:CL38" si="13">SUM(CE34:CE37)</f>
        <v>13.655849854367339</v>
      </c>
      <c r="CF38" s="783">
        <f t="shared" si="13"/>
        <v>18.554959639599232</v>
      </c>
      <c r="CG38" s="783">
        <f t="shared" si="13"/>
        <v>12.888498424005334</v>
      </c>
      <c r="CH38" s="783">
        <f t="shared" si="13"/>
        <v>8.8618083294456547</v>
      </c>
      <c r="CI38" s="783">
        <f t="shared" si="13"/>
        <v>12.093516829212394</v>
      </c>
      <c r="CJ38" s="783">
        <f t="shared" si="13"/>
        <v>19.839067537457595</v>
      </c>
      <c r="CK38" s="783">
        <f t="shared" si="13"/>
        <v>22.460660928600515</v>
      </c>
      <c r="CL38" s="783">
        <f t="shared" si="13"/>
        <v>8.6904631314290057</v>
      </c>
    </row>
    <row r="39" spans="1:245" s="782" customFormat="1" ht="24.95" customHeight="1">
      <c r="B39" s="767" t="s">
        <v>832</v>
      </c>
      <c r="C39" s="775"/>
      <c r="D39" s="776"/>
      <c r="E39" s="777"/>
      <c r="F39" s="778"/>
      <c r="G39" s="779"/>
      <c r="H39" s="779"/>
      <c r="I39" s="779"/>
      <c r="J39" s="779"/>
      <c r="K39" s="780">
        <f t="shared" ref="K39" si="14">K38+J39</f>
        <v>-27.2199748275</v>
      </c>
      <c r="L39" s="780">
        <f t="shared" ref="L39" si="15">L38+K39</f>
        <v>-28.853173317149999</v>
      </c>
      <c r="M39" s="780">
        <f t="shared" ref="M39" si="16">M38+L39</f>
        <v>-30.584363716178999</v>
      </c>
      <c r="N39" s="780">
        <f t="shared" ref="N39" si="17">N38+M39</f>
        <v>-32.419425539149735</v>
      </c>
      <c r="O39" s="780">
        <f t="shared" ref="O39" si="18">O38+N39</f>
        <v>-34.364591071498722</v>
      </c>
      <c r="P39" s="780">
        <f t="shared" ref="P39" si="19">P38+O39</f>
        <v>-36.426466535788649</v>
      </c>
      <c r="Q39" s="780">
        <f t="shared" ref="Q39" si="20">Q38+P39</f>
        <v>-40.054054527935968</v>
      </c>
      <c r="R39" s="780">
        <f t="shared" ref="R39" si="21">R38+Q39</f>
        <v>-43.899297799612128</v>
      </c>
      <c r="S39" s="780">
        <f t="shared" ref="S39" si="22">S38+R39</f>
        <v>-51.889255667588856</v>
      </c>
      <c r="T39" s="780">
        <f t="shared" ref="T39" si="23">T38+S39</f>
        <v>-60.219989390935858</v>
      </c>
      <c r="U39" s="780">
        <f t="shared" ref="U39" si="24">U38+T39</f>
        <v>-83.934168309953236</v>
      </c>
      <c r="V39" s="780">
        <f t="shared" ref="V39" si="25">V38+U39</f>
        <v>-91.561197964111656</v>
      </c>
      <c r="W39" s="780">
        <f t="shared" ref="W39" si="26">W38+V39</f>
        <v>-120.24584939751958</v>
      </c>
      <c r="X39" s="780">
        <f t="shared" ref="X39" si="27">X38+W39</f>
        <v>-131.01160616818825</v>
      </c>
      <c r="Y39" s="780">
        <f t="shared" ref="Y39" si="28">Y38+X39</f>
        <v>-135.28781666989238</v>
      </c>
      <c r="Z39" s="780">
        <f t="shared" ref="Z39" si="29">Z38+Y39</f>
        <v>-152.48506522564713</v>
      </c>
      <c r="AA39" s="780">
        <f t="shared" ref="AA39" si="30">AA38+Z39</f>
        <v>-174.1131486947472</v>
      </c>
      <c r="AB39" s="780">
        <f t="shared" ref="AB39" si="31">AB38+AA39</f>
        <v>-174.55776732593432</v>
      </c>
      <c r="AC39" s="780">
        <f t="shared" ref="AC39" si="32">AC38+AB39</f>
        <v>-177.94674749710322</v>
      </c>
      <c r="AD39" s="780">
        <f t="shared" ref="AD39" si="33">AD38+AC39</f>
        <v>-181.23906647854224</v>
      </c>
      <c r="AE39" s="780">
        <f t="shared" ref="AE39" si="34">AE38+AD39</f>
        <v>-178.72892459886762</v>
      </c>
      <c r="AF39" s="780">
        <f t="shared" ref="AF39" si="35">AF38+AE39</f>
        <v>-181.50023852802056</v>
      </c>
      <c r="AG39" s="780">
        <f t="shared" ref="AG39" si="36">AG38+AF39</f>
        <v>-178.80576697131463</v>
      </c>
      <c r="AH39" s="780">
        <f t="shared" ref="AH39" si="37">AH38+AG39</f>
        <v>-186.64962712120635</v>
      </c>
      <c r="AI39" s="780">
        <f t="shared" ref="AI39" si="38">AI38+AH39</f>
        <v>-205.58958430403996</v>
      </c>
      <c r="AJ39" s="780">
        <f t="shared" ref="AJ39" si="39">AJ38+AI39</f>
        <v>-203.77253781550323</v>
      </c>
      <c r="AK39" s="780">
        <f t="shared" ref="AK39" si="40">AK38+AJ39</f>
        <v>-196.01440421604627</v>
      </c>
      <c r="AL39" s="780">
        <f t="shared" ref="AL39" si="41">AL38+AK39</f>
        <v>-201.49078260062188</v>
      </c>
      <c r="AM39" s="780">
        <f t="shared" ref="AM39" si="42">AM38+AL39</f>
        <v>-201.89574368827203</v>
      </c>
      <c r="AN39" s="780">
        <f t="shared" ref="AN39" si="43">AN38+AM39</f>
        <v>-196.75706676278924</v>
      </c>
      <c r="AO39" s="780">
        <f t="shared" ref="AO39" si="44">AO38+AN39</f>
        <v>-207.67800490016944</v>
      </c>
      <c r="AP39" s="780">
        <f t="shared" ref="AP39" si="45">AP38+AO39</f>
        <v>-200.25419932579246</v>
      </c>
      <c r="AQ39" s="780">
        <f t="shared" ref="AQ39" si="46">AQ38+AP39</f>
        <v>-229.38343084090124</v>
      </c>
      <c r="AR39" s="780">
        <f t="shared" ref="AR39" si="47">AR38+AQ39</f>
        <v>-229.34426640085761</v>
      </c>
      <c r="AS39" s="780">
        <f t="shared" ref="AS39" si="48">AS38+AR39</f>
        <v>-228.0204365165219</v>
      </c>
      <c r="AT39" s="780">
        <f t="shared" ref="AT39" si="49">AT38+AS39</f>
        <v>-230.51717683912605</v>
      </c>
      <c r="AU39" s="780">
        <f t="shared" ref="AU39" si="50">AU38+AT39</f>
        <v>-229.16372158108646</v>
      </c>
      <c r="AV39" s="780">
        <f t="shared" ref="AV39" si="51">AV38+AU39</f>
        <v>-223.46112332917252</v>
      </c>
      <c r="AW39" s="780">
        <f t="shared" ref="AW39" si="52">AW38+AV39</f>
        <v>-222.9843048605357</v>
      </c>
      <c r="AX39" s="780">
        <f t="shared" ref="AX39" si="53">AX38+AW39</f>
        <v>-218.17887728378068</v>
      </c>
      <c r="AY39" s="780">
        <f t="shared" ref="AY39" si="54">AY38+AX39</f>
        <v>-214.98512405242036</v>
      </c>
      <c r="AZ39" s="780">
        <f t="shared" ref="AZ39" si="55">AZ38+AY39</f>
        <v>-228.65423730238308</v>
      </c>
      <c r="BA39" s="780">
        <f t="shared" ref="BA39" si="56">BA38+AZ39</f>
        <v>-230.48900567213892</v>
      </c>
      <c r="BB39" s="780">
        <f t="shared" ref="BB39" si="57">BB38+BA39</f>
        <v>-231.93386014408009</v>
      </c>
      <c r="BC39" s="780">
        <f t="shared" ref="BC39" si="58">BC38+BB39</f>
        <v>-227.36540588433775</v>
      </c>
      <c r="BD39" s="780">
        <f t="shared" ref="BD39" si="59">BD38+BC39</f>
        <v>-221.73291472076966</v>
      </c>
      <c r="BE39" s="780">
        <f t="shared" ref="BE39" si="60">BE38+BD39</f>
        <v>-218.15240373562867</v>
      </c>
      <c r="BF39" s="780">
        <f t="shared" ref="BF39" si="61">BF38+BE39</f>
        <v>-213.85706209137922</v>
      </c>
      <c r="BG39" s="780">
        <f t="shared" ref="BG39" si="62">BG38+BF39</f>
        <v>-214.7039999484748</v>
      </c>
      <c r="BH39" s="780">
        <f t="shared" ref="BH39" si="63">BH38+BG39</f>
        <v>-210.38181437850366</v>
      </c>
      <c r="BI39" s="780">
        <f t="shared" ref="BI39" si="64">BI38+BH39</f>
        <v>-207.72023737282672</v>
      </c>
      <c r="BJ39" s="780">
        <f t="shared" ref="BJ39" si="65">BJ38+BI39</f>
        <v>-203.19896574680917</v>
      </c>
      <c r="BK39" s="780">
        <f t="shared" ref="BK39" si="66">BK38+BJ39</f>
        <v>-197.80641782323056</v>
      </c>
      <c r="BL39" s="780">
        <f t="shared" ref="BL39" si="67">BL38+BK39</f>
        <v>-184.64056828051864</v>
      </c>
      <c r="BM39" s="780">
        <f t="shared" ref="BM39" si="68">BM38+BL39</f>
        <v>-175.63451650896261</v>
      </c>
      <c r="BN39" s="780">
        <f t="shared" ref="BN39" si="69">BN38+BM39</f>
        <v>-174.88810163111322</v>
      </c>
      <c r="BO39" s="780">
        <f t="shared" ref="BO39" si="70">BO38+BN39</f>
        <v>-175.79690186059284</v>
      </c>
      <c r="BP39" s="780">
        <f t="shared" ref="BP39" si="71">BP38+BO39</f>
        <v>-166.74029040534879</v>
      </c>
      <c r="BQ39" s="780">
        <f t="shared" ref="BQ39" si="72">BQ38+BP39</f>
        <v>-155.76022196128255</v>
      </c>
      <c r="BR39" s="780">
        <f t="shared" ref="BR39" si="73">BR38+BQ39</f>
        <v>-169.75681483452072</v>
      </c>
      <c r="BS39" s="780">
        <f t="shared" ref="BS39" si="74">BS38+BR39</f>
        <v>-163.4577378562048</v>
      </c>
      <c r="BT39" s="780">
        <f t="shared" ref="BT39" si="75">BT38+BS39</f>
        <v>-159.36077656069747</v>
      </c>
      <c r="BU39" s="780">
        <f t="shared" ref="BU39" si="76">BU38+BT39</f>
        <v>-156.03793728595215</v>
      </c>
      <c r="BV39" s="780">
        <f t="shared" ref="BV39" si="77">BV38+BU39</f>
        <v>-166.03419307867051</v>
      </c>
      <c r="BW39" s="780">
        <f t="shared" ref="BW39" si="78">BW38+BV39</f>
        <v>-170.71175879500359</v>
      </c>
      <c r="BX39" s="780">
        <f t="shared" ref="BX39" si="79">BX38+BW39</f>
        <v>-163.25003875582419</v>
      </c>
      <c r="BY39" s="780">
        <f t="shared" ref="BY39" si="80">BY38+BX39</f>
        <v>-152.76055521278647</v>
      </c>
      <c r="BZ39" s="780">
        <f t="shared" ref="BZ39" si="81">BZ38+BY39</f>
        <v>-145.0417026571665</v>
      </c>
      <c r="CA39" s="780">
        <f t="shared" ref="CA39" si="82">CA38+BZ39</f>
        <v>-138.85971894820932</v>
      </c>
      <c r="CB39" s="780">
        <f t="shared" ref="CB39" si="83">CB38+CA39</f>
        <v>-135.18687651822225</v>
      </c>
      <c r="CC39" s="780">
        <f t="shared" ref="CC39" si="84">CC38+CB39</f>
        <v>-126.91360324092842</v>
      </c>
      <c r="CD39" s="780">
        <f t="shared" ref="CD39" si="85">CD38+CC39</f>
        <v>-117.14393356699696</v>
      </c>
      <c r="CE39" s="780">
        <f t="shared" ref="CE39" si="86">CE38+CD39</f>
        <v>-103.48808371262962</v>
      </c>
      <c r="CF39" s="780">
        <f t="shared" ref="CF39" si="87">CF38+CE39</f>
        <v>-84.933124073030385</v>
      </c>
      <c r="CG39" s="780">
        <f t="shared" ref="CG39" si="88">CG38+CF39</f>
        <v>-72.044625649025051</v>
      </c>
      <c r="CH39" s="780">
        <f t="shared" ref="CH39" si="89">CH38+CG39</f>
        <v>-63.182817319579399</v>
      </c>
      <c r="CI39" s="780">
        <f t="shared" ref="CI39" si="90">CI38+CH39</f>
        <v>-51.089300490367009</v>
      </c>
      <c r="CJ39" s="780">
        <f t="shared" ref="CJ39" si="91">CJ38+CI39</f>
        <v>-31.250232952909414</v>
      </c>
      <c r="CK39" s="780">
        <f t="shared" ref="CK39" si="92">CK38+CJ39</f>
        <v>-8.7895720243088995</v>
      </c>
      <c r="CL39" s="780">
        <f t="shared" ref="CL39" si="93">CL38+CK39</f>
        <v>-9.9108892879893773E-2</v>
      </c>
    </row>
    <row r="40" spans="1:245" s="782" customFormat="1" ht="24.95" customHeight="1">
      <c r="B40" s="767" t="s">
        <v>921</v>
      </c>
      <c r="C40" s="775"/>
      <c r="D40" s="776"/>
      <c r="E40" s="777"/>
      <c r="F40" s="778"/>
      <c r="G40" s="779"/>
      <c r="H40" s="779"/>
      <c r="I40" s="779"/>
      <c r="J40" s="779"/>
      <c r="K40" s="780"/>
      <c r="L40" s="780"/>
      <c r="M40" s="780"/>
      <c r="N40" s="780"/>
      <c r="O40" s="780"/>
      <c r="P40" s="780"/>
      <c r="Q40" s="780"/>
      <c r="R40" s="781"/>
      <c r="S40" s="781"/>
      <c r="T40" s="781"/>
      <c r="U40" s="781"/>
      <c r="V40" s="781"/>
      <c r="W40" s="781"/>
      <c r="X40" s="781"/>
      <c r="Y40" s="781"/>
      <c r="Z40" s="781"/>
      <c r="AA40" s="781"/>
      <c r="AB40" s="781"/>
      <c r="AC40" s="781"/>
      <c r="AD40" s="781"/>
      <c r="AE40" s="781"/>
      <c r="AF40" s="781"/>
      <c r="AG40" s="781"/>
      <c r="AH40" s="781"/>
      <c r="AI40" s="781"/>
      <c r="AJ40" s="781"/>
      <c r="AK40" s="781"/>
      <c r="AL40" s="781"/>
      <c r="AM40" s="781"/>
      <c r="AN40" s="781"/>
      <c r="AO40" s="781"/>
      <c r="AP40" s="781"/>
      <c r="AQ40" s="781"/>
      <c r="AR40" s="781"/>
      <c r="AS40" s="781"/>
      <c r="AT40" s="781"/>
      <c r="AU40" s="781"/>
      <c r="AV40" s="781"/>
      <c r="AW40" s="781"/>
      <c r="AX40" s="781"/>
      <c r="AY40" s="781"/>
      <c r="AZ40" s="781"/>
      <c r="BA40" s="781"/>
      <c r="BB40" s="781"/>
      <c r="BC40" s="781"/>
      <c r="BD40" s="781"/>
      <c r="BE40" s="781"/>
      <c r="BF40" s="781"/>
      <c r="BG40" s="781"/>
      <c r="BH40" s="781"/>
      <c r="BI40" s="781"/>
      <c r="BJ40" s="781"/>
      <c r="BK40" s="781"/>
      <c r="BL40" s="781"/>
      <c r="BM40" s="781"/>
      <c r="BN40" s="781"/>
      <c r="BO40" s="781"/>
      <c r="BP40" s="781"/>
      <c r="BQ40" s="781"/>
      <c r="BR40" s="781"/>
      <c r="BS40" s="781"/>
      <c r="BT40" s="781"/>
      <c r="BU40" s="781"/>
      <c r="BV40" s="781"/>
      <c r="BW40" s="781"/>
      <c r="BX40" s="781"/>
      <c r="BY40" s="781"/>
      <c r="BZ40" s="781"/>
      <c r="CA40" s="781"/>
      <c r="CB40" s="781"/>
      <c r="CC40" s="781"/>
      <c r="CD40" s="781"/>
      <c r="CE40" s="781"/>
      <c r="CF40" s="781"/>
      <c r="CG40" s="781"/>
      <c r="CH40" s="781"/>
      <c r="CI40" s="781"/>
      <c r="CJ40" s="781"/>
      <c r="CK40" s="780"/>
      <c r="CL40" s="780"/>
    </row>
    <row r="41" spans="1:245" s="782" customFormat="1" ht="24.95" customHeight="1">
      <c r="B41" s="767"/>
      <c r="C41" s="775"/>
      <c r="D41" s="776"/>
      <c r="E41" s="777"/>
      <c r="F41" s="778"/>
      <c r="G41" s="779"/>
      <c r="H41" s="779"/>
      <c r="I41" s="779"/>
      <c r="J41" s="779"/>
      <c r="K41" s="780"/>
      <c r="L41" s="780"/>
      <c r="M41" s="780"/>
      <c r="N41" s="780"/>
      <c r="O41" s="780"/>
      <c r="P41" s="780"/>
      <c r="Q41" s="780"/>
      <c r="R41" s="781"/>
      <c r="S41" s="781"/>
      <c r="T41" s="781"/>
      <c r="U41" s="781"/>
      <c r="V41" s="781"/>
      <c r="W41" s="781"/>
      <c r="X41" s="781"/>
      <c r="Y41" s="781"/>
      <c r="Z41" s="781"/>
      <c r="AA41" s="781"/>
      <c r="AB41" s="781"/>
      <c r="AC41" s="781"/>
      <c r="AD41" s="781"/>
      <c r="AE41" s="781"/>
      <c r="AF41" s="781"/>
      <c r="AG41" s="781"/>
      <c r="AH41" s="781"/>
      <c r="AI41" s="781"/>
      <c r="AJ41" s="781"/>
      <c r="AK41" s="781"/>
      <c r="AL41" s="781"/>
      <c r="AM41" s="781"/>
      <c r="AN41" s="781"/>
      <c r="AO41" s="781"/>
      <c r="AP41" s="781"/>
      <c r="AQ41" s="781"/>
      <c r="AR41" s="781"/>
      <c r="AS41" s="781"/>
      <c r="AT41" s="781"/>
      <c r="AU41" s="781"/>
      <c r="AV41" s="781"/>
      <c r="AW41" s="781"/>
      <c r="AX41" s="781"/>
      <c r="AY41" s="781"/>
      <c r="AZ41" s="781"/>
      <c r="BA41" s="781"/>
      <c r="BB41" s="781"/>
      <c r="BC41" s="781"/>
      <c r="BD41" s="781"/>
      <c r="BE41" s="781"/>
      <c r="BF41" s="781"/>
      <c r="BG41" s="781"/>
      <c r="BH41" s="781"/>
      <c r="BI41" s="781"/>
      <c r="BJ41" s="781"/>
      <c r="BK41" s="781"/>
      <c r="BL41" s="781"/>
      <c r="BM41" s="781"/>
      <c r="BN41" s="781"/>
      <c r="BO41" s="781"/>
      <c r="BP41" s="781"/>
      <c r="BQ41" s="781"/>
      <c r="BR41" s="781"/>
      <c r="BS41" s="781"/>
      <c r="BT41" s="781"/>
      <c r="BU41" s="781"/>
      <c r="BV41" s="781"/>
      <c r="BW41" s="781"/>
      <c r="BX41" s="781"/>
      <c r="BY41" s="781"/>
      <c r="BZ41" s="781"/>
      <c r="CA41" s="781"/>
      <c r="CB41" s="781"/>
      <c r="CC41" s="781"/>
      <c r="CD41" s="781"/>
      <c r="CE41" s="781"/>
      <c r="CF41" s="781"/>
      <c r="CG41" s="781"/>
      <c r="CH41" s="781"/>
      <c r="CI41" s="781"/>
      <c r="CJ41" s="781"/>
      <c r="CK41" s="780"/>
      <c r="CL41" s="780"/>
    </row>
    <row r="42" spans="1:245" s="792" customFormat="1" ht="18">
      <c r="B42" s="809"/>
    </row>
    <row r="43" spans="1:245" s="792" customFormat="1" ht="18.75">
      <c r="B43" s="810"/>
      <c r="C43" s="810"/>
      <c r="D43" s="810"/>
      <c r="E43" s="810"/>
      <c r="F43" s="810"/>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744"/>
      <c r="AM43" s="744"/>
      <c r="AN43" s="744"/>
      <c r="AO43" s="744"/>
      <c r="AP43" s="744"/>
      <c r="AQ43" s="744"/>
      <c r="AR43" s="744"/>
      <c r="AS43" s="744"/>
      <c r="AT43" s="744"/>
      <c r="AU43" s="744"/>
      <c r="AV43" s="744"/>
      <c r="AW43" s="744"/>
      <c r="AX43" s="744"/>
      <c r="AY43" s="744"/>
      <c r="AZ43" s="744"/>
      <c r="BA43" s="744"/>
      <c r="BB43" s="744"/>
      <c r="BC43" s="744"/>
      <c r="BD43" s="744"/>
      <c r="BE43" s="744"/>
      <c r="BF43" s="744"/>
      <c r="BG43" s="744"/>
      <c r="BH43" s="744"/>
      <c r="BI43" s="744"/>
      <c r="BJ43" s="744"/>
      <c r="BK43" s="744"/>
      <c r="BL43" s="744"/>
      <c r="BM43" s="744"/>
      <c r="BN43" s="744"/>
      <c r="BO43" s="744"/>
      <c r="BP43" s="744"/>
      <c r="BQ43" s="744"/>
      <c r="BR43" s="744"/>
      <c r="BS43" s="744"/>
      <c r="BT43" s="744"/>
      <c r="BU43" s="744"/>
      <c r="BV43" s="744"/>
      <c r="BW43" s="744"/>
      <c r="BX43" s="744"/>
      <c r="BY43" s="744"/>
      <c r="BZ43" s="744"/>
      <c r="CA43" s="744"/>
      <c r="CB43" s="744"/>
      <c r="CC43" s="744"/>
      <c r="CD43" s="744"/>
      <c r="CE43" s="744"/>
      <c r="CF43" s="744"/>
      <c r="CG43" s="744"/>
      <c r="CH43" s="744"/>
      <c r="CI43" s="744"/>
      <c r="CJ43" s="744"/>
      <c r="CK43" s="744"/>
      <c r="CL43" s="744"/>
      <c r="CM43" s="745"/>
      <c r="CN43" s="745"/>
      <c r="CO43" s="745"/>
      <c r="CP43" s="745"/>
      <c r="CQ43" s="745"/>
      <c r="CR43" s="745"/>
      <c r="CS43" s="745"/>
      <c r="CT43" s="745"/>
      <c r="CU43" s="745"/>
      <c r="CV43" s="745"/>
      <c r="CW43" s="745"/>
      <c r="CX43" s="745"/>
      <c r="CY43" s="745"/>
      <c r="CZ43" s="745"/>
      <c r="DA43" s="745"/>
      <c r="DB43" s="745"/>
      <c r="DC43" s="745"/>
      <c r="DD43" s="745"/>
      <c r="DE43" s="745"/>
      <c r="DF43" s="745"/>
      <c r="DG43" s="745"/>
      <c r="DH43" s="745"/>
      <c r="DI43" s="745"/>
      <c r="DJ43" s="745"/>
      <c r="DK43" s="745"/>
      <c r="DL43" s="745"/>
      <c r="DM43" s="745"/>
      <c r="DN43" s="745"/>
      <c r="DO43" s="745"/>
      <c r="DP43" s="745"/>
      <c r="DQ43" s="745"/>
      <c r="DR43" s="745"/>
      <c r="DS43" s="745"/>
      <c r="DT43" s="745"/>
      <c r="DU43" s="745"/>
      <c r="DV43" s="745"/>
      <c r="DW43" s="745"/>
      <c r="DX43" s="745"/>
      <c r="DY43" s="745"/>
      <c r="DZ43" s="745"/>
      <c r="EA43" s="745"/>
      <c r="EB43" s="745"/>
      <c r="EC43" s="745"/>
      <c r="ED43" s="745"/>
      <c r="EE43" s="745"/>
      <c r="EF43" s="745"/>
      <c r="EG43" s="745"/>
      <c r="EH43" s="745"/>
      <c r="EI43" s="745"/>
      <c r="EJ43" s="745"/>
      <c r="EK43" s="745"/>
      <c r="EL43" s="745"/>
      <c r="EM43" s="745"/>
      <c r="EN43" s="745"/>
      <c r="EO43" s="745"/>
      <c r="EP43" s="745"/>
      <c r="EQ43" s="745"/>
      <c r="ER43" s="745"/>
      <c r="ES43" s="745"/>
      <c r="ET43" s="745"/>
      <c r="EU43" s="745"/>
      <c r="EV43" s="745"/>
      <c r="EW43" s="745"/>
      <c r="EX43" s="745"/>
      <c r="EY43" s="745"/>
      <c r="EZ43" s="745"/>
      <c r="FA43" s="745"/>
      <c r="FB43" s="745"/>
      <c r="FC43" s="745"/>
      <c r="FD43" s="745"/>
      <c r="FE43" s="745"/>
      <c r="FF43" s="745"/>
      <c r="FG43" s="745"/>
      <c r="FH43" s="745"/>
      <c r="FI43" s="745"/>
      <c r="FJ43" s="745"/>
      <c r="FK43" s="745"/>
      <c r="FL43" s="745"/>
      <c r="FM43" s="745"/>
      <c r="FN43" s="745"/>
      <c r="FO43" s="745"/>
      <c r="FP43" s="745"/>
      <c r="FQ43" s="745"/>
      <c r="FR43" s="745"/>
      <c r="FS43" s="745"/>
      <c r="FT43" s="745"/>
      <c r="FU43" s="745"/>
      <c r="FV43" s="745"/>
      <c r="FW43" s="745"/>
      <c r="FX43" s="745"/>
      <c r="FY43" s="745"/>
      <c r="FZ43" s="745"/>
      <c r="GA43" s="745"/>
      <c r="GB43" s="745"/>
      <c r="GC43" s="745"/>
      <c r="GD43" s="745"/>
      <c r="GE43" s="745"/>
      <c r="GF43" s="745"/>
      <c r="GG43" s="745"/>
      <c r="GH43" s="745"/>
      <c r="GI43" s="745"/>
      <c r="GJ43" s="745"/>
      <c r="GK43" s="745"/>
      <c r="GL43" s="745"/>
      <c r="GM43" s="745"/>
      <c r="GN43" s="745"/>
      <c r="GO43" s="745"/>
      <c r="GP43" s="745"/>
      <c r="GQ43" s="745"/>
      <c r="GR43" s="745"/>
      <c r="GS43" s="745"/>
      <c r="GT43" s="745"/>
      <c r="GU43" s="745"/>
      <c r="GV43" s="745"/>
      <c r="GW43" s="745"/>
      <c r="GX43" s="745"/>
      <c r="GY43" s="745"/>
      <c r="GZ43" s="745"/>
      <c r="HA43" s="745"/>
      <c r="HB43" s="745"/>
      <c r="HC43" s="745"/>
      <c r="HD43" s="745"/>
      <c r="HE43" s="745"/>
      <c r="HF43" s="745"/>
      <c r="HG43" s="745"/>
      <c r="HH43" s="745"/>
      <c r="HI43" s="745"/>
      <c r="HJ43" s="745"/>
      <c r="HK43" s="745"/>
      <c r="HL43" s="745"/>
      <c r="HM43" s="745"/>
      <c r="HN43" s="745"/>
      <c r="HO43" s="745"/>
      <c r="HP43" s="745"/>
      <c r="HQ43" s="745"/>
      <c r="HR43" s="745"/>
      <c r="HS43" s="745"/>
      <c r="HT43" s="745"/>
      <c r="HU43" s="745"/>
      <c r="HV43" s="745"/>
      <c r="HW43" s="745"/>
      <c r="HX43" s="745"/>
      <c r="HY43" s="745"/>
      <c r="HZ43" s="745"/>
      <c r="IA43" s="745"/>
      <c r="IB43" s="745"/>
      <c r="IC43" s="745"/>
      <c r="ID43" s="745"/>
      <c r="IE43" s="745"/>
      <c r="IF43" s="745"/>
      <c r="IG43" s="745"/>
      <c r="IH43" s="745"/>
      <c r="II43" s="745"/>
      <c r="IJ43" s="745"/>
      <c r="IK43" s="745"/>
    </row>
    <row r="44" spans="1:245" s="782" customFormat="1" ht="24.95" customHeight="1">
      <c r="B44" s="811"/>
      <c r="C44" s="713"/>
      <c r="D44" s="714"/>
      <c r="F44" s="776"/>
      <c r="G44" s="779"/>
      <c r="H44" s="779"/>
      <c r="I44" s="779"/>
      <c r="J44" s="779"/>
      <c r="K44" s="780"/>
      <c r="L44" s="780"/>
      <c r="M44" s="780"/>
      <c r="N44" s="780"/>
      <c r="O44" s="780"/>
      <c r="P44" s="780"/>
      <c r="Q44" s="780"/>
      <c r="R44" s="780"/>
      <c r="S44" s="780"/>
      <c r="T44" s="780"/>
      <c r="U44" s="780"/>
      <c r="V44" s="780"/>
      <c r="W44" s="780"/>
      <c r="X44" s="780"/>
      <c r="Y44" s="780"/>
      <c r="Z44" s="780"/>
      <c r="AA44" s="780"/>
      <c r="AB44" s="780"/>
      <c r="AC44" s="780"/>
      <c r="AD44" s="780"/>
      <c r="AE44" s="780"/>
      <c r="AF44" s="780"/>
      <c r="AG44" s="780"/>
      <c r="AH44" s="780"/>
      <c r="AI44" s="780"/>
      <c r="AJ44" s="780"/>
      <c r="AK44" s="780"/>
      <c r="AL44" s="780"/>
      <c r="AM44" s="780"/>
      <c r="AN44" s="780"/>
      <c r="AO44" s="780"/>
      <c r="AP44" s="780"/>
      <c r="AQ44" s="780"/>
      <c r="AR44" s="780"/>
      <c r="AS44" s="780"/>
      <c r="AT44" s="780"/>
      <c r="AU44" s="780"/>
      <c r="AV44" s="780"/>
      <c r="AW44" s="780"/>
      <c r="AX44" s="780"/>
      <c r="AY44" s="780"/>
      <c r="AZ44" s="780"/>
      <c r="BA44" s="780"/>
      <c r="BB44" s="780"/>
      <c r="BC44" s="780"/>
      <c r="BD44" s="780"/>
      <c r="BE44" s="780"/>
      <c r="BF44" s="780"/>
      <c r="BG44" s="780"/>
      <c r="BH44" s="780"/>
      <c r="BI44" s="780"/>
      <c r="BJ44" s="780"/>
      <c r="BK44" s="780"/>
      <c r="BL44" s="780"/>
      <c r="BM44" s="780"/>
      <c r="BN44" s="780"/>
      <c r="BO44" s="780"/>
      <c r="BP44" s="780"/>
      <c r="BQ44" s="780"/>
      <c r="BR44" s="780"/>
      <c r="BS44" s="780"/>
      <c r="BT44" s="780"/>
      <c r="BU44" s="780"/>
      <c r="BV44" s="780"/>
      <c r="BW44" s="780"/>
      <c r="BX44" s="780"/>
      <c r="BY44" s="780"/>
      <c r="BZ44" s="780"/>
      <c r="CA44" s="780"/>
      <c r="CB44" s="780"/>
      <c r="CC44" s="780"/>
      <c r="CD44" s="780"/>
      <c r="CE44" s="780"/>
      <c r="CF44" s="780"/>
      <c r="CG44" s="780"/>
      <c r="CH44" s="780"/>
      <c r="CI44" s="780"/>
      <c r="CJ44" s="780"/>
      <c r="CK44" s="780"/>
      <c r="CL44" s="780"/>
    </row>
    <row r="45" spans="1:245" s="782" customFormat="1" ht="24.95" customHeight="1">
      <c r="B45" s="811"/>
      <c r="C45" s="97"/>
      <c r="F45" s="714"/>
      <c r="G45" s="779"/>
      <c r="H45" s="779"/>
      <c r="I45" s="779"/>
      <c r="J45" s="779"/>
      <c r="K45" s="780"/>
      <c r="L45" s="780"/>
      <c r="M45" s="780"/>
      <c r="N45" s="780"/>
      <c r="O45" s="780"/>
      <c r="P45" s="780"/>
      <c r="Q45" s="780"/>
      <c r="R45" s="780"/>
      <c r="S45" s="780"/>
      <c r="T45" s="780"/>
      <c r="U45" s="780"/>
      <c r="V45" s="780"/>
      <c r="W45" s="780"/>
      <c r="X45" s="780"/>
      <c r="Y45" s="780"/>
      <c r="Z45" s="780"/>
      <c r="AA45" s="780"/>
      <c r="AB45" s="780"/>
      <c r="AC45" s="780"/>
      <c r="AD45" s="780"/>
      <c r="AE45" s="780"/>
      <c r="AF45" s="780"/>
      <c r="AG45" s="780"/>
      <c r="AH45" s="780"/>
      <c r="AI45" s="780"/>
      <c r="AJ45" s="780"/>
      <c r="AK45" s="780"/>
      <c r="AL45" s="780"/>
      <c r="AM45" s="780"/>
      <c r="AN45" s="780"/>
      <c r="AO45" s="780"/>
      <c r="AP45" s="780"/>
      <c r="AQ45" s="780"/>
      <c r="AR45" s="780"/>
      <c r="AS45" s="780"/>
      <c r="AT45" s="780"/>
      <c r="AU45" s="780"/>
      <c r="AV45" s="780"/>
      <c r="AW45" s="780"/>
      <c r="AX45" s="780"/>
      <c r="AY45" s="780"/>
      <c r="AZ45" s="780"/>
      <c r="BA45" s="780"/>
      <c r="BB45" s="780"/>
      <c r="BC45" s="780"/>
      <c r="BD45" s="780"/>
      <c r="BE45" s="780"/>
      <c r="BF45" s="780"/>
      <c r="BG45" s="780"/>
      <c r="BH45" s="780"/>
      <c r="BI45" s="780"/>
      <c r="BJ45" s="780"/>
      <c r="BK45" s="780"/>
      <c r="BL45" s="780"/>
      <c r="BM45" s="780"/>
      <c r="BN45" s="780"/>
      <c r="BO45" s="780"/>
      <c r="BP45" s="780"/>
      <c r="BQ45" s="780"/>
      <c r="BR45" s="780"/>
      <c r="BS45" s="780"/>
      <c r="BT45" s="780"/>
      <c r="BU45" s="780"/>
      <c r="BV45" s="780"/>
      <c r="BW45" s="780"/>
      <c r="BX45" s="780"/>
      <c r="BY45" s="780"/>
      <c r="BZ45" s="780"/>
      <c r="CA45" s="780"/>
      <c r="CB45" s="780"/>
      <c r="CC45" s="780"/>
      <c r="CD45" s="780"/>
      <c r="CE45" s="780"/>
      <c r="CF45" s="780"/>
      <c r="CG45" s="780"/>
      <c r="CH45" s="780"/>
      <c r="CI45" s="780"/>
      <c r="CJ45" s="780"/>
      <c r="CK45" s="780"/>
      <c r="CL45" s="780"/>
    </row>
    <row r="46" spans="1:245" s="782" customFormat="1" ht="24.95" customHeight="1">
      <c r="B46" s="811"/>
      <c r="C46" s="775"/>
      <c r="D46" s="776"/>
      <c r="E46" s="784"/>
      <c r="F46" s="776"/>
      <c r="G46" s="779"/>
      <c r="H46" s="779"/>
      <c r="I46" s="779"/>
      <c r="J46" s="779"/>
      <c r="K46" s="780"/>
      <c r="L46" s="780"/>
      <c r="M46" s="780"/>
      <c r="N46" s="780"/>
      <c r="O46" s="780"/>
      <c r="P46" s="780"/>
      <c r="Q46" s="780"/>
      <c r="R46" s="780"/>
      <c r="S46" s="780"/>
      <c r="T46" s="780"/>
      <c r="U46" s="780"/>
      <c r="V46" s="780"/>
      <c r="W46" s="780"/>
      <c r="X46" s="780"/>
      <c r="Y46" s="780"/>
      <c r="Z46" s="780"/>
      <c r="AA46" s="780"/>
      <c r="AB46" s="780"/>
      <c r="AC46" s="780"/>
      <c r="AD46" s="780"/>
      <c r="AE46" s="780"/>
      <c r="AF46" s="780"/>
      <c r="AG46" s="780"/>
      <c r="AH46" s="780"/>
      <c r="AI46" s="780"/>
      <c r="AJ46" s="780"/>
      <c r="AK46" s="780"/>
      <c r="AL46" s="780"/>
      <c r="AM46" s="780"/>
      <c r="AN46" s="780"/>
      <c r="AO46" s="780"/>
      <c r="AP46" s="780"/>
      <c r="AQ46" s="780"/>
      <c r="AR46" s="780"/>
      <c r="AS46" s="780"/>
      <c r="AT46" s="780"/>
      <c r="AU46" s="780"/>
      <c r="AV46" s="780"/>
      <c r="AW46" s="780"/>
      <c r="AX46" s="780"/>
      <c r="AY46" s="780"/>
      <c r="AZ46" s="780"/>
      <c r="BA46" s="780"/>
      <c r="BB46" s="780"/>
      <c r="BC46" s="780"/>
      <c r="BD46" s="780"/>
      <c r="BE46" s="780"/>
      <c r="BF46" s="780"/>
      <c r="BG46" s="780"/>
      <c r="BH46" s="780"/>
      <c r="BI46" s="780"/>
      <c r="BJ46" s="780"/>
      <c r="BK46" s="780"/>
      <c r="BL46" s="780"/>
      <c r="BM46" s="780"/>
      <c r="BN46" s="780"/>
      <c r="BO46" s="780"/>
      <c r="BP46" s="780"/>
      <c r="BQ46" s="780"/>
      <c r="BR46" s="780"/>
      <c r="BS46" s="780"/>
      <c r="BT46" s="780"/>
      <c r="BU46" s="780"/>
      <c r="BV46" s="780"/>
      <c r="BW46" s="780"/>
      <c r="BX46" s="780"/>
      <c r="BY46" s="780"/>
      <c r="BZ46" s="780"/>
      <c r="CA46" s="780"/>
      <c r="CB46" s="780"/>
      <c r="CC46" s="780"/>
      <c r="CD46" s="780"/>
      <c r="CE46" s="780"/>
      <c r="CF46" s="780"/>
      <c r="CG46" s="780"/>
      <c r="CH46" s="780"/>
      <c r="CI46" s="780"/>
      <c r="CJ46" s="780"/>
      <c r="CK46" s="780"/>
      <c r="CL46" s="780"/>
    </row>
    <row r="47" spans="1:245" s="782" customFormat="1" ht="24.95" customHeight="1">
      <c r="B47" s="811"/>
      <c r="C47" s="775"/>
      <c r="D47" s="776"/>
      <c r="E47" s="777"/>
      <c r="F47" s="776"/>
      <c r="G47" s="779"/>
      <c r="H47" s="779"/>
      <c r="I47" s="779"/>
      <c r="J47" s="779"/>
      <c r="K47" s="780"/>
      <c r="L47" s="780"/>
      <c r="M47" s="780"/>
      <c r="N47" s="780"/>
      <c r="O47" s="780"/>
      <c r="P47" s="780"/>
      <c r="Q47" s="780"/>
      <c r="R47" s="780"/>
      <c r="S47" s="780"/>
      <c r="T47" s="780"/>
      <c r="U47" s="780"/>
      <c r="V47" s="780"/>
      <c r="W47" s="780"/>
      <c r="X47" s="780"/>
      <c r="Y47" s="780"/>
      <c r="Z47" s="780"/>
      <c r="AA47" s="780"/>
      <c r="AB47" s="780"/>
      <c r="AC47" s="780"/>
      <c r="AD47" s="780"/>
      <c r="AE47" s="780"/>
      <c r="AF47" s="780"/>
      <c r="AG47" s="780"/>
      <c r="AH47" s="780"/>
      <c r="AI47" s="780"/>
      <c r="AJ47" s="780"/>
      <c r="AK47" s="780"/>
      <c r="AL47" s="780"/>
      <c r="AM47" s="780"/>
      <c r="AN47" s="780"/>
      <c r="AO47" s="780"/>
      <c r="AP47" s="780"/>
      <c r="AQ47" s="780"/>
      <c r="AR47" s="780"/>
      <c r="AS47" s="780"/>
      <c r="AT47" s="780"/>
      <c r="AU47" s="780"/>
      <c r="AV47" s="780"/>
      <c r="AW47" s="780"/>
      <c r="AX47" s="780"/>
      <c r="AY47" s="780"/>
      <c r="AZ47" s="780"/>
      <c r="BA47" s="780"/>
      <c r="BB47" s="780"/>
      <c r="BC47" s="780"/>
      <c r="BD47" s="780"/>
      <c r="BE47" s="780"/>
      <c r="BF47" s="780"/>
      <c r="BG47" s="780"/>
      <c r="BH47" s="780"/>
      <c r="BI47" s="780"/>
      <c r="BJ47" s="780"/>
      <c r="BK47" s="780"/>
      <c r="BL47" s="780"/>
      <c r="BM47" s="780"/>
      <c r="BN47" s="780"/>
      <c r="BO47" s="780"/>
      <c r="BP47" s="780"/>
      <c r="BQ47" s="780"/>
      <c r="BR47" s="780"/>
      <c r="BS47" s="780"/>
      <c r="BT47" s="780"/>
      <c r="BU47" s="780"/>
      <c r="BV47" s="780"/>
      <c r="BW47" s="780"/>
      <c r="BX47" s="780"/>
      <c r="BY47" s="780"/>
      <c r="BZ47" s="780"/>
      <c r="CA47" s="780"/>
      <c r="CB47" s="780"/>
      <c r="CC47" s="780"/>
      <c r="CD47" s="780"/>
      <c r="CE47" s="780"/>
      <c r="CF47" s="780"/>
      <c r="CG47" s="780"/>
      <c r="CH47" s="780"/>
      <c r="CI47" s="780"/>
      <c r="CJ47" s="780"/>
      <c r="CK47" s="780"/>
      <c r="CL47" s="780"/>
    </row>
    <row r="48" spans="1:245" s="782" customFormat="1" ht="24.95" customHeight="1">
      <c r="B48" s="811"/>
      <c r="C48" s="775"/>
      <c r="D48" s="776"/>
      <c r="E48" s="777"/>
      <c r="F48" s="776"/>
      <c r="G48" s="779"/>
      <c r="H48" s="779"/>
      <c r="I48" s="779"/>
      <c r="J48" s="779"/>
      <c r="K48" s="780"/>
      <c r="L48" s="780"/>
      <c r="M48" s="780"/>
      <c r="N48" s="780"/>
      <c r="O48" s="780"/>
      <c r="P48" s="780"/>
      <c r="Q48" s="780"/>
      <c r="R48" s="780"/>
      <c r="S48" s="780"/>
      <c r="T48" s="780"/>
      <c r="U48" s="780"/>
      <c r="V48" s="780"/>
      <c r="W48" s="780"/>
      <c r="X48" s="780"/>
      <c r="Y48" s="780"/>
      <c r="Z48" s="780"/>
      <c r="AA48" s="780"/>
      <c r="AB48" s="780"/>
      <c r="AC48" s="780"/>
      <c r="AD48" s="780"/>
      <c r="AE48" s="780"/>
      <c r="AF48" s="780"/>
      <c r="AG48" s="780"/>
      <c r="AH48" s="780"/>
      <c r="AI48" s="780"/>
      <c r="AJ48" s="780"/>
      <c r="AK48" s="780"/>
      <c r="AL48" s="780"/>
      <c r="AM48" s="780"/>
      <c r="AN48" s="780"/>
      <c r="AO48" s="780"/>
      <c r="AP48" s="780"/>
      <c r="AQ48" s="780"/>
      <c r="AR48" s="780"/>
      <c r="AS48" s="780"/>
      <c r="AT48" s="780"/>
      <c r="AU48" s="780"/>
      <c r="AV48" s="780"/>
      <c r="AW48" s="780"/>
      <c r="AX48" s="780"/>
      <c r="AY48" s="780"/>
      <c r="AZ48" s="780"/>
      <c r="BA48" s="780"/>
      <c r="BB48" s="780"/>
      <c r="BC48" s="780"/>
      <c r="BD48" s="780"/>
      <c r="BE48" s="780"/>
      <c r="BF48" s="780"/>
      <c r="BG48" s="780"/>
      <c r="BH48" s="780"/>
      <c r="BI48" s="780"/>
      <c r="BJ48" s="780"/>
      <c r="BK48" s="780"/>
      <c r="BL48" s="780"/>
      <c r="BM48" s="780"/>
      <c r="BN48" s="780"/>
      <c r="BO48" s="780"/>
      <c r="BP48" s="780"/>
      <c r="BQ48" s="780"/>
      <c r="BR48" s="780"/>
      <c r="BS48" s="780"/>
      <c r="BT48" s="780"/>
      <c r="BU48" s="780"/>
      <c r="BV48" s="780"/>
      <c r="BW48" s="780"/>
      <c r="BX48" s="780"/>
      <c r="BY48" s="780"/>
      <c r="BZ48" s="780"/>
      <c r="CA48" s="780"/>
      <c r="CB48" s="780"/>
      <c r="CC48" s="780"/>
      <c r="CD48" s="780"/>
      <c r="CE48" s="780"/>
      <c r="CF48" s="780"/>
      <c r="CG48" s="780"/>
      <c r="CH48" s="780"/>
      <c r="CI48" s="780"/>
      <c r="CJ48" s="780"/>
      <c r="CK48" s="780"/>
      <c r="CL48" s="780"/>
    </row>
    <row r="49" spans="2:90" s="782" customFormat="1" ht="24.95" customHeight="1">
      <c r="B49" s="811"/>
      <c r="C49" s="775"/>
      <c r="D49" s="776"/>
      <c r="E49" s="777"/>
      <c r="F49" s="778"/>
      <c r="G49" s="779"/>
      <c r="H49" s="779"/>
      <c r="I49" s="779"/>
      <c r="J49" s="779"/>
      <c r="K49" s="780"/>
      <c r="L49" s="780"/>
      <c r="M49" s="780"/>
      <c r="N49" s="780"/>
      <c r="O49" s="780"/>
      <c r="P49" s="780"/>
      <c r="Q49" s="780"/>
      <c r="R49" s="780"/>
      <c r="S49" s="780"/>
      <c r="T49" s="780"/>
      <c r="U49" s="780"/>
      <c r="V49" s="780"/>
      <c r="W49" s="780"/>
      <c r="X49" s="780"/>
      <c r="Y49" s="780"/>
      <c r="Z49" s="780"/>
      <c r="AA49" s="780"/>
      <c r="AB49" s="780"/>
      <c r="AC49" s="780"/>
      <c r="AD49" s="780"/>
      <c r="AE49" s="780"/>
      <c r="AF49" s="780"/>
      <c r="AG49" s="780"/>
      <c r="AH49" s="780"/>
      <c r="AI49" s="780"/>
      <c r="AJ49" s="780"/>
      <c r="AK49" s="780"/>
      <c r="AL49" s="780"/>
      <c r="AM49" s="780"/>
      <c r="AN49" s="780"/>
      <c r="AO49" s="780"/>
      <c r="AP49" s="780"/>
      <c r="AQ49" s="780"/>
      <c r="AR49" s="780"/>
      <c r="AS49" s="780"/>
      <c r="AT49" s="780"/>
      <c r="AU49" s="780"/>
      <c r="AV49" s="780"/>
      <c r="AW49" s="780"/>
      <c r="AX49" s="780"/>
      <c r="AY49" s="780"/>
      <c r="AZ49" s="780"/>
      <c r="BA49" s="780"/>
      <c r="BB49" s="780"/>
      <c r="BC49" s="780"/>
      <c r="BD49" s="780"/>
      <c r="BE49" s="780"/>
      <c r="BF49" s="780"/>
      <c r="BG49" s="780"/>
      <c r="BH49" s="780"/>
      <c r="BI49" s="780"/>
      <c r="BJ49" s="780"/>
      <c r="BK49" s="780"/>
      <c r="BL49" s="780"/>
      <c r="BM49" s="780"/>
      <c r="BN49" s="780"/>
      <c r="BO49" s="780"/>
      <c r="BP49" s="780"/>
      <c r="BQ49" s="780"/>
      <c r="BR49" s="780"/>
      <c r="BS49" s="780"/>
      <c r="BT49" s="780"/>
      <c r="BU49" s="780"/>
      <c r="BV49" s="780"/>
      <c r="BW49" s="780"/>
      <c r="BX49" s="780"/>
      <c r="BY49" s="780"/>
      <c r="BZ49" s="780"/>
      <c r="CA49" s="780"/>
      <c r="CB49" s="780"/>
      <c r="CC49" s="780"/>
      <c r="CD49" s="780"/>
      <c r="CE49" s="780"/>
      <c r="CF49" s="780"/>
      <c r="CG49" s="780"/>
      <c r="CH49" s="780"/>
      <c r="CI49" s="780"/>
      <c r="CJ49" s="780"/>
      <c r="CK49" s="780"/>
      <c r="CL49" s="780"/>
    </row>
    <row r="50" spans="2:90" s="96" customFormat="1" ht="24.95" customHeight="1">
      <c r="B50"/>
      <c r="C50" s="713"/>
      <c r="D50" s="714"/>
      <c r="E50" s="97"/>
      <c r="F50" s="715"/>
      <c r="G50" s="708"/>
      <c r="H50" s="708"/>
      <c r="I50" s="708"/>
      <c r="J50" s="708"/>
      <c r="K50" s="712"/>
      <c r="L50" s="712"/>
      <c r="M50" s="712"/>
      <c r="N50" s="712"/>
      <c r="O50" s="712"/>
      <c r="P50" s="712"/>
      <c r="Q50" s="712"/>
      <c r="R50" s="721"/>
      <c r="S50" s="721"/>
      <c r="T50" s="721"/>
      <c r="U50" s="721"/>
      <c r="V50" s="721"/>
      <c r="W50" s="721"/>
      <c r="X50" s="721"/>
      <c r="Y50" s="721"/>
      <c r="Z50" s="721"/>
      <c r="AA50" s="721"/>
      <c r="AB50" s="721"/>
      <c r="AC50" s="721"/>
      <c r="AD50" s="721"/>
      <c r="AE50" s="721"/>
      <c r="AF50" s="721"/>
      <c r="AG50" s="721"/>
      <c r="AH50" s="721"/>
      <c r="AI50" s="721"/>
      <c r="AJ50" s="721"/>
      <c r="AK50" s="721"/>
      <c r="AL50" s="721"/>
      <c r="AM50" s="721"/>
      <c r="AN50" s="721"/>
      <c r="AO50" s="721"/>
      <c r="AP50" s="721"/>
      <c r="AQ50" s="721"/>
      <c r="AR50" s="721"/>
      <c r="AS50" s="721"/>
      <c r="AT50" s="721"/>
      <c r="AU50" s="721"/>
      <c r="AV50" s="721"/>
      <c r="AW50" s="721"/>
      <c r="AX50" s="721"/>
      <c r="AY50" s="721"/>
      <c r="AZ50" s="721"/>
      <c r="BA50" s="721"/>
      <c r="BB50" s="721"/>
      <c r="BC50" s="721"/>
      <c r="BD50" s="721"/>
      <c r="BE50" s="721"/>
      <c r="BF50" s="721"/>
      <c r="BG50" s="721"/>
      <c r="BH50" s="721"/>
      <c r="BI50" s="721"/>
      <c r="BJ50" s="721"/>
      <c r="BK50" s="721"/>
      <c r="BL50" s="721"/>
      <c r="BM50" s="721"/>
      <c r="BN50" s="721"/>
      <c r="BO50" s="721"/>
      <c r="BP50" s="721"/>
      <c r="BQ50" s="721"/>
      <c r="BR50" s="721"/>
      <c r="BS50" s="721"/>
      <c r="BT50" s="721"/>
      <c r="BU50" s="721"/>
      <c r="BV50" s="721"/>
      <c r="BW50" s="721"/>
      <c r="BX50" s="721"/>
      <c r="BY50" s="721"/>
      <c r="BZ50" s="721"/>
      <c r="CA50" s="721"/>
      <c r="CB50" s="721"/>
      <c r="CC50" s="721"/>
      <c r="CD50" s="721"/>
      <c r="CE50" s="721"/>
      <c r="CF50" s="721"/>
      <c r="CG50" s="721"/>
      <c r="CH50" s="721"/>
      <c r="CI50" s="721"/>
      <c r="CJ50" s="721"/>
      <c r="CK50" s="712"/>
      <c r="CL50" s="712"/>
    </row>
    <row r="51" spans="2:90" s="96" customFormat="1" ht="24.95" customHeight="1">
      <c r="B51"/>
      <c r="C51" s="713"/>
      <c r="D51" s="714"/>
      <c r="E51" s="97"/>
      <c r="F51" s="715"/>
      <c r="G51" s="708"/>
      <c r="H51" s="708"/>
      <c r="I51" s="708"/>
      <c r="J51" s="708"/>
      <c r="K51" s="712"/>
      <c r="L51" s="712"/>
      <c r="M51" s="712"/>
      <c r="N51" s="712"/>
      <c r="O51" s="712"/>
      <c r="P51" s="712"/>
      <c r="Q51" s="712"/>
      <c r="R51" s="721"/>
      <c r="S51" s="721"/>
      <c r="T51" s="721"/>
      <c r="U51" s="721"/>
      <c r="V51" s="721"/>
      <c r="W51" s="721"/>
      <c r="X51" s="721"/>
      <c r="Y51" s="721"/>
      <c r="Z51" s="721"/>
      <c r="AA51" s="721"/>
      <c r="AB51" s="721"/>
      <c r="AC51" s="721"/>
      <c r="AD51" s="721"/>
      <c r="AE51" s="721"/>
      <c r="AF51" s="721"/>
      <c r="AG51" s="721"/>
      <c r="AH51" s="721"/>
      <c r="AI51" s="721"/>
      <c r="AJ51" s="721"/>
      <c r="AK51" s="721"/>
      <c r="AL51" s="721"/>
      <c r="AM51" s="721"/>
      <c r="AN51" s="721"/>
      <c r="AO51" s="721"/>
      <c r="AP51" s="721"/>
      <c r="AQ51" s="721"/>
      <c r="AR51" s="721"/>
      <c r="AS51" s="721"/>
      <c r="AT51" s="721"/>
      <c r="AU51" s="721"/>
      <c r="AV51" s="721"/>
      <c r="AW51" s="721"/>
      <c r="AX51" s="721"/>
      <c r="AY51" s="721"/>
      <c r="AZ51" s="721"/>
      <c r="BA51" s="721"/>
      <c r="BB51" s="721"/>
      <c r="BC51" s="721"/>
      <c r="BD51" s="721"/>
      <c r="BE51" s="721"/>
      <c r="BF51" s="721"/>
      <c r="BG51" s="721"/>
      <c r="BH51" s="721"/>
      <c r="BI51" s="721"/>
      <c r="BJ51" s="721"/>
      <c r="BK51" s="721"/>
      <c r="BL51" s="721"/>
      <c r="BM51" s="721"/>
      <c r="BN51" s="721"/>
      <c r="BO51" s="721"/>
      <c r="BP51" s="721"/>
      <c r="BQ51" s="721"/>
      <c r="BR51" s="721"/>
      <c r="BS51" s="721"/>
      <c r="BT51" s="721"/>
      <c r="BU51" s="721"/>
      <c r="BV51" s="721"/>
      <c r="BW51" s="721"/>
      <c r="BX51" s="721"/>
      <c r="BY51" s="721"/>
      <c r="BZ51" s="721"/>
      <c r="CA51" s="721"/>
      <c r="CB51" s="721"/>
      <c r="CC51" s="721"/>
      <c r="CD51" s="721"/>
      <c r="CE51" s="721"/>
      <c r="CF51" s="721"/>
      <c r="CG51" s="721"/>
      <c r="CH51" s="721"/>
      <c r="CI51" s="721"/>
      <c r="CJ51" s="721"/>
      <c r="CK51" s="712"/>
      <c r="CL51" s="712"/>
    </row>
    <row r="52" spans="2:90" s="96" customFormat="1" ht="24.95" customHeight="1">
      <c r="B52"/>
      <c r="C52" s="713"/>
      <c r="D52" s="714"/>
      <c r="E52" s="97"/>
      <c r="F52" s="715"/>
      <c r="G52" s="708"/>
      <c r="H52" s="708"/>
      <c r="I52" s="708"/>
      <c r="J52" s="708"/>
      <c r="K52" s="712"/>
      <c r="L52" s="712"/>
      <c r="M52" s="712"/>
      <c r="N52" s="712"/>
      <c r="O52" s="712"/>
      <c r="P52" s="712"/>
      <c r="Q52" s="712"/>
      <c r="R52" s="721"/>
      <c r="S52" s="721"/>
      <c r="T52" s="721"/>
      <c r="U52" s="721"/>
      <c r="V52" s="721"/>
      <c r="W52" s="721"/>
      <c r="X52" s="721"/>
      <c r="Y52" s="721"/>
      <c r="Z52" s="721"/>
      <c r="AA52" s="721"/>
      <c r="AB52" s="721"/>
      <c r="AC52" s="721"/>
      <c r="AD52" s="721"/>
      <c r="AE52" s="721"/>
      <c r="AF52" s="721"/>
      <c r="AG52" s="721"/>
      <c r="AH52" s="721"/>
      <c r="AI52" s="721"/>
      <c r="AJ52" s="721"/>
      <c r="AK52" s="721"/>
      <c r="AL52" s="721"/>
      <c r="AM52" s="721"/>
      <c r="AN52" s="721"/>
      <c r="AO52" s="721"/>
      <c r="AP52" s="721"/>
      <c r="AQ52" s="721"/>
      <c r="AR52" s="721"/>
      <c r="AS52" s="721"/>
      <c r="AT52" s="721"/>
      <c r="AU52" s="721"/>
      <c r="AV52" s="721"/>
      <c r="AW52" s="721"/>
      <c r="AX52" s="721"/>
      <c r="AY52" s="721"/>
      <c r="AZ52" s="721"/>
      <c r="BA52" s="721"/>
      <c r="BB52" s="721"/>
      <c r="BC52" s="721"/>
      <c r="BD52" s="721"/>
      <c r="BE52" s="721"/>
      <c r="BF52" s="721"/>
      <c r="BG52" s="721"/>
      <c r="BH52" s="721"/>
      <c r="BI52" s="721"/>
      <c r="BJ52" s="721"/>
      <c r="BK52" s="721"/>
      <c r="BL52" s="721"/>
      <c r="BM52" s="721"/>
      <c r="BN52" s="721"/>
      <c r="BO52" s="721"/>
      <c r="BP52" s="721"/>
      <c r="BQ52" s="721"/>
      <c r="BR52" s="721"/>
      <c r="BS52" s="721"/>
      <c r="BT52" s="721"/>
      <c r="BU52" s="721"/>
      <c r="BV52" s="721"/>
      <c r="BW52" s="721"/>
      <c r="BX52" s="721"/>
      <c r="BY52" s="721"/>
      <c r="BZ52" s="721"/>
      <c r="CA52" s="721"/>
      <c r="CB52" s="721"/>
      <c r="CC52" s="721"/>
      <c r="CD52" s="721"/>
      <c r="CE52" s="721"/>
      <c r="CF52" s="721"/>
      <c r="CG52" s="721"/>
      <c r="CH52" s="721"/>
      <c r="CI52" s="721"/>
      <c r="CJ52" s="721"/>
      <c r="CK52" s="712"/>
      <c r="CL52" s="712"/>
    </row>
    <row r="53" spans="2:90" s="96" customFormat="1" ht="24.95" customHeight="1">
      <c r="B53"/>
      <c r="C53" s="713"/>
      <c r="D53" s="714"/>
      <c r="E53" s="97"/>
      <c r="F53" s="715"/>
      <c r="G53" s="708"/>
      <c r="H53" s="708"/>
      <c r="I53" s="708"/>
      <c r="J53" s="708"/>
      <c r="K53" s="712"/>
      <c r="L53" s="712"/>
      <c r="M53" s="712"/>
      <c r="N53" s="712"/>
      <c r="O53" s="712"/>
      <c r="P53" s="712"/>
      <c r="Q53" s="712"/>
      <c r="R53" s="721"/>
      <c r="S53" s="721"/>
      <c r="T53" s="721"/>
      <c r="U53" s="721"/>
      <c r="V53" s="721"/>
      <c r="W53" s="721"/>
      <c r="X53" s="721"/>
      <c r="Y53" s="721"/>
      <c r="Z53" s="721"/>
      <c r="AA53" s="721"/>
      <c r="AB53" s="721"/>
      <c r="AC53" s="721"/>
      <c r="AD53" s="721"/>
      <c r="AE53" s="721"/>
      <c r="AF53" s="721"/>
      <c r="AG53" s="721"/>
      <c r="AH53" s="721"/>
      <c r="AI53" s="721"/>
      <c r="AJ53" s="721"/>
      <c r="AK53" s="721"/>
      <c r="AL53" s="721"/>
      <c r="AM53" s="721"/>
      <c r="AN53" s="721"/>
      <c r="AO53" s="721"/>
      <c r="AP53" s="721"/>
      <c r="AQ53" s="721"/>
      <c r="AR53" s="721"/>
      <c r="AS53" s="721"/>
      <c r="AT53" s="721"/>
      <c r="AU53" s="721"/>
      <c r="AV53" s="721"/>
      <c r="AW53" s="721"/>
      <c r="AX53" s="721"/>
      <c r="AY53" s="721"/>
      <c r="AZ53" s="721"/>
      <c r="BA53" s="721"/>
      <c r="BB53" s="721"/>
      <c r="BC53" s="721"/>
      <c r="BD53" s="721"/>
      <c r="BE53" s="721"/>
      <c r="BF53" s="721"/>
      <c r="BG53" s="721"/>
      <c r="BH53" s="721"/>
      <c r="BI53" s="721"/>
      <c r="BJ53" s="721"/>
      <c r="BK53" s="721"/>
      <c r="BL53" s="721"/>
      <c r="BM53" s="721"/>
      <c r="BN53" s="721"/>
      <c r="BO53" s="721"/>
      <c r="BP53" s="721"/>
      <c r="BQ53" s="721"/>
      <c r="BR53" s="721"/>
      <c r="BS53" s="721"/>
      <c r="BT53" s="721"/>
      <c r="BU53" s="721"/>
      <c r="BV53" s="721"/>
      <c r="BW53" s="721"/>
      <c r="BX53" s="721"/>
      <c r="BY53" s="721"/>
      <c r="BZ53" s="721"/>
      <c r="CA53" s="721"/>
      <c r="CB53" s="721"/>
      <c r="CC53" s="721"/>
      <c r="CD53" s="721"/>
      <c r="CE53" s="721"/>
      <c r="CF53" s="721"/>
      <c r="CG53" s="721"/>
      <c r="CH53" s="721"/>
      <c r="CI53" s="721"/>
      <c r="CJ53" s="721"/>
      <c r="CK53" s="712"/>
      <c r="CL53" s="712"/>
    </row>
    <row r="54" spans="2:90" s="96" customFormat="1" ht="24.95" customHeight="1">
      <c r="B54"/>
      <c r="C54" s="713"/>
      <c r="D54" s="714"/>
      <c r="E54" s="97"/>
      <c r="F54" s="715"/>
      <c r="G54" s="708"/>
      <c r="H54" s="708"/>
      <c r="I54" s="708"/>
      <c r="J54" s="708"/>
      <c r="K54" s="712"/>
      <c r="L54" s="712"/>
      <c r="M54" s="712"/>
      <c r="N54" s="712"/>
      <c r="O54" s="712"/>
      <c r="P54" s="712"/>
      <c r="Q54" s="712"/>
      <c r="R54" s="721"/>
      <c r="S54" s="721"/>
      <c r="T54" s="721"/>
      <c r="U54" s="721"/>
      <c r="V54" s="721"/>
      <c r="W54" s="721"/>
      <c r="X54" s="721"/>
      <c r="Y54" s="721"/>
      <c r="Z54" s="721"/>
      <c r="AA54" s="721"/>
      <c r="AB54" s="721"/>
      <c r="AC54" s="721"/>
      <c r="AD54" s="721"/>
      <c r="AE54" s="721"/>
      <c r="AF54" s="721"/>
      <c r="AG54" s="721"/>
      <c r="AH54" s="721"/>
      <c r="AI54" s="721"/>
      <c r="AJ54" s="721"/>
      <c r="AK54" s="721"/>
      <c r="AL54" s="721"/>
      <c r="AM54" s="721"/>
      <c r="AN54" s="721"/>
      <c r="AO54" s="721"/>
      <c r="AP54" s="721"/>
      <c r="AQ54" s="721"/>
      <c r="AR54" s="721"/>
      <c r="AS54" s="721"/>
      <c r="AT54" s="721"/>
      <c r="AU54" s="721"/>
      <c r="AV54" s="721"/>
      <c r="AW54" s="721"/>
      <c r="AX54" s="721"/>
      <c r="AY54" s="721"/>
      <c r="AZ54" s="721"/>
      <c r="BA54" s="721"/>
      <c r="BB54" s="721"/>
      <c r="BC54" s="721"/>
      <c r="BD54" s="721"/>
      <c r="BE54" s="721"/>
      <c r="BF54" s="721"/>
      <c r="BG54" s="721"/>
      <c r="BH54" s="721"/>
      <c r="BI54" s="721"/>
      <c r="BJ54" s="721"/>
      <c r="BK54" s="721"/>
      <c r="BL54" s="721"/>
      <c r="BM54" s="721"/>
      <c r="BN54" s="721"/>
      <c r="BO54" s="721"/>
      <c r="BP54" s="721"/>
      <c r="BQ54" s="721"/>
      <c r="BR54" s="721"/>
      <c r="BS54" s="721"/>
      <c r="BT54" s="721"/>
      <c r="BU54" s="721"/>
      <c r="BV54" s="721"/>
      <c r="BW54" s="721"/>
      <c r="BX54" s="721"/>
      <c r="BY54" s="721"/>
      <c r="BZ54" s="721"/>
      <c r="CA54" s="721"/>
      <c r="CB54" s="721"/>
      <c r="CC54" s="721"/>
      <c r="CD54" s="721"/>
      <c r="CE54" s="721"/>
      <c r="CF54" s="721"/>
      <c r="CG54" s="721"/>
      <c r="CH54" s="721"/>
      <c r="CI54" s="721"/>
      <c r="CJ54" s="721"/>
      <c r="CK54" s="712"/>
      <c r="CL54" s="712"/>
    </row>
    <row r="55" spans="2:90" s="96" customFormat="1" ht="24.95" customHeight="1">
      <c r="B55"/>
      <c r="C55" s="713"/>
      <c r="D55" s="714"/>
      <c r="E55" s="97"/>
      <c r="F55" s="715"/>
      <c r="G55" s="708"/>
      <c r="H55" s="708"/>
      <c r="I55" s="708"/>
      <c r="J55" s="708"/>
      <c r="K55" s="712"/>
      <c r="L55" s="712"/>
      <c r="M55" s="712"/>
      <c r="N55" s="712"/>
      <c r="O55" s="712"/>
      <c r="P55" s="712"/>
      <c r="Q55" s="712"/>
      <c r="R55" s="721"/>
      <c r="S55" s="721"/>
      <c r="T55" s="721"/>
      <c r="U55" s="721"/>
      <c r="V55" s="721"/>
      <c r="W55" s="721"/>
      <c r="X55" s="721"/>
      <c r="Y55" s="721"/>
      <c r="Z55" s="721"/>
      <c r="AA55" s="721"/>
      <c r="AB55" s="721"/>
      <c r="AC55" s="721"/>
      <c r="AD55" s="721"/>
      <c r="AE55" s="721"/>
      <c r="AF55" s="721"/>
      <c r="AG55" s="721"/>
      <c r="AH55" s="721"/>
      <c r="AI55" s="721"/>
      <c r="AJ55" s="721"/>
      <c r="AK55" s="721"/>
      <c r="AL55" s="721"/>
      <c r="AM55" s="721"/>
      <c r="AN55" s="721"/>
      <c r="AO55" s="721"/>
      <c r="AP55" s="721"/>
      <c r="AQ55" s="721"/>
      <c r="AR55" s="721"/>
      <c r="AS55" s="721"/>
      <c r="AT55" s="721"/>
      <c r="AU55" s="721"/>
      <c r="AV55" s="721"/>
      <c r="AW55" s="721"/>
      <c r="AX55" s="721"/>
      <c r="AY55" s="721"/>
      <c r="AZ55" s="721"/>
      <c r="BA55" s="721"/>
      <c r="BB55" s="721"/>
      <c r="BC55" s="721"/>
      <c r="BD55" s="721"/>
      <c r="BE55" s="721"/>
      <c r="BF55" s="721"/>
      <c r="BG55" s="721"/>
      <c r="BH55" s="721"/>
      <c r="BI55" s="721"/>
      <c r="BJ55" s="721"/>
      <c r="BK55" s="721"/>
      <c r="BL55" s="721"/>
      <c r="BM55" s="721"/>
      <c r="BN55" s="721"/>
      <c r="BO55" s="721"/>
      <c r="BP55" s="721"/>
      <c r="BQ55" s="721"/>
      <c r="BR55" s="721"/>
      <c r="BS55" s="721"/>
      <c r="BT55" s="721"/>
      <c r="BU55" s="721"/>
      <c r="BV55" s="721"/>
      <c r="BW55" s="721"/>
      <c r="BX55" s="721"/>
      <c r="BY55" s="721"/>
      <c r="BZ55" s="721"/>
      <c r="CA55" s="721"/>
      <c r="CB55" s="721"/>
      <c r="CC55" s="721"/>
      <c r="CD55" s="721"/>
      <c r="CE55" s="721"/>
      <c r="CF55" s="721"/>
      <c r="CG55" s="721"/>
      <c r="CH55" s="721"/>
      <c r="CI55" s="721"/>
      <c r="CJ55" s="721"/>
      <c r="CK55" s="712"/>
      <c r="CL55" s="712"/>
    </row>
    <row r="56" spans="2:90" s="96" customFormat="1" ht="24.95" customHeight="1">
      <c r="B56"/>
      <c r="C56" s="713"/>
      <c r="D56" s="714"/>
      <c r="E56" s="97"/>
      <c r="F56" s="715"/>
      <c r="G56" s="708"/>
      <c r="H56" s="708"/>
      <c r="I56" s="708"/>
      <c r="J56" s="708"/>
      <c r="K56" s="712"/>
      <c r="L56" s="712"/>
      <c r="M56" s="712"/>
      <c r="N56" s="712"/>
      <c r="O56" s="712"/>
      <c r="P56" s="712"/>
      <c r="Q56" s="712"/>
      <c r="R56" s="721"/>
      <c r="S56" s="721"/>
      <c r="T56" s="721"/>
      <c r="U56" s="721"/>
      <c r="V56" s="721"/>
      <c r="W56" s="721"/>
      <c r="X56" s="721"/>
      <c r="Y56" s="721"/>
      <c r="Z56" s="721"/>
      <c r="AA56" s="721"/>
      <c r="AB56" s="721"/>
      <c r="AC56" s="721"/>
      <c r="AD56" s="721"/>
      <c r="AE56" s="721"/>
      <c r="AF56" s="721"/>
      <c r="AG56" s="721"/>
      <c r="AH56" s="721"/>
      <c r="AI56" s="721"/>
      <c r="AJ56" s="721"/>
      <c r="AK56" s="721"/>
      <c r="AL56" s="721"/>
      <c r="AM56" s="721"/>
      <c r="AN56" s="721"/>
      <c r="AO56" s="721"/>
      <c r="AP56" s="721"/>
      <c r="AQ56" s="721"/>
      <c r="AR56" s="721"/>
      <c r="AS56" s="721"/>
      <c r="AT56" s="721"/>
      <c r="AU56" s="721"/>
      <c r="AV56" s="721"/>
      <c r="AW56" s="721"/>
      <c r="AX56" s="721"/>
      <c r="AY56" s="721"/>
      <c r="AZ56" s="721"/>
      <c r="BA56" s="721"/>
      <c r="BB56" s="721"/>
      <c r="BC56" s="721"/>
      <c r="BD56" s="721"/>
      <c r="BE56" s="721"/>
      <c r="BF56" s="721"/>
      <c r="BG56" s="721"/>
      <c r="BH56" s="721"/>
      <c r="BI56" s="721"/>
      <c r="BJ56" s="721"/>
      <c r="BK56" s="721"/>
      <c r="BL56" s="721"/>
      <c r="BM56" s="721"/>
      <c r="BN56" s="721"/>
      <c r="BO56" s="721"/>
      <c r="BP56" s="721"/>
      <c r="BQ56" s="721"/>
      <c r="BR56" s="721"/>
      <c r="BS56" s="721"/>
      <c r="BT56" s="721"/>
      <c r="BU56" s="721"/>
      <c r="BV56" s="721"/>
      <c r="BW56" s="721"/>
      <c r="BX56" s="721"/>
      <c r="BY56" s="721"/>
      <c r="BZ56" s="721"/>
      <c r="CA56" s="721"/>
      <c r="CB56" s="721"/>
      <c r="CC56" s="721"/>
      <c r="CD56" s="721"/>
      <c r="CE56" s="721"/>
      <c r="CF56" s="721"/>
      <c r="CG56" s="721"/>
      <c r="CH56" s="721"/>
      <c r="CI56" s="721"/>
      <c r="CJ56" s="721"/>
      <c r="CK56" s="712"/>
      <c r="CL56" s="712"/>
    </row>
    <row r="57" spans="2:90" s="96" customFormat="1" ht="24.95" customHeight="1">
      <c r="B57"/>
      <c r="C57" s="713"/>
      <c r="D57" s="714"/>
      <c r="E57" s="97"/>
      <c r="F57" s="715"/>
      <c r="G57" s="708"/>
      <c r="H57" s="708"/>
      <c r="I57" s="708"/>
      <c r="J57" s="708"/>
      <c r="K57" s="712"/>
      <c r="L57" s="712"/>
      <c r="M57" s="712"/>
      <c r="N57" s="712"/>
      <c r="O57" s="712"/>
      <c r="P57" s="712"/>
      <c r="Q57" s="712"/>
      <c r="R57" s="721"/>
      <c r="S57" s="721"/>
      <c r="T57" s="721"/>
      <c r="U57" s="721"/>
      <c r="V57" s="721"/>
      <c r="W57" s="721"/>
      <c r="X57" s="721"/>
      <c r="Y57" s="721"/>
      <c r="Z57" s="721"/>
      <c r="AA57" s="721"/>
      <c r="AB57" s="721"/>
      <c r="AC57" s="721"/>
      <c r="AD57" s="721"/>
      <c r="AE57" s="721"/>
      <c r="AF57" s="721"/>
      <c r="AG57" s="721"/>
      <c r="AH57" s="721"/>
      <c r="AI57" s="721"/>
      <c r="AJ57" s="721"/>
      <c r="AK57" s="721"/>
      <c r="AL57" s="721"/>
      <c r="AM57" s="721"/>
      <c r="AN57" s="721"/>
      <c r="AO57" s="721"/>
      <c r="AP57" s="721"/>
      <c r="AQ57" s="721"/>
      <c r="AR57" s="721"/>
      <c r="AS57" s="721"/>
      <c r="AT57" s="721"/>
      <c r="AU57" s="721"/>
      <c r="AV57" s="721"/>
      <c r="AW57" s="721"/>
      <c r="AX57" s="721"/>
      <c r="AY57" s="721"/>
      <c r="AZ57" s="721"/>
      <c r="BA57" s="721"/>
      <c r="BB57" s="721"/>
      <c r="BC57" s="721"/>
      <c r="BD57" s="721"/>
      <c r="BE57" s="721"/>
      <c r="BF57" s="721"/>
      <c r="BG57" s="721"/>
      <c r="BH57" s="721"/>
      <c r="BI57" s="721"/>
      <c r="BJ57" s="721"/>
      <c r="BK57" s="721"/>
      <c r="BL57" s="721"/>
      <c r="BM57" s="721"/>
      <c r="BN57" s="721"/>
      <c r="BO57" s="721"/>
      <c r="BP57" s="721"/>
      <c r="BQ57" s="721"/>
      <c r="BR57" s="721"/>
      <c r="BS57" s="721"/>
      <c r="BT57" s="721"/>
      <c r="BU57" s="721"/>
      <c r="BV57" s="721"/>
      <c r="BW57" s="721"/>
      <c r="BX57" s="721"/>
      <c r="BY57" s="721"/>
      <c r="BZ57" s="721"/>
      <c r="CA57" s="721"/>
      <c r="CB57" s="721"/>
      <c r="CC57" s="721"/>
      <c r="CD57" s="721"/>
      <c r="CE57" s="721"/>
      <c r="CF57" s="721"/>
      <c r="CG57" s="721"/>
      <c r="CH57" s="721"/>
      <c r="CI57" s="721"/>
      <c r="CJ57" s="721"/>
      <c r="CK57" s="712"/>
      <c r="CL57" s="712"/>
    </row>
    <row r="58" spans="2:90" s="96" customFormat="1" ht="24.95" customHeight="1">
      <c r="B58" s="792"/>
      <c r="C58" s="713"/>
      <c r="D58" s="714"/>
      <c r="E58" s="97"/>
      <c r="F58" s="715"/>
      <c r="G58" s="708"/>
      <c r="H58" s="708"/>
      <c r="I58" s="708"/>
      <c r="J58" s="708"/>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c r="AH58" s="712"/>
      <c r="AI58" s="712"/>
      <c r="AJ58" s="712"/>
      <c r="AK58" s="712"/>
      <c r="AL58" s="712"/>
      <c r="AM58" s="712"/>
      <c r="AN58" s="712"/>
      <c r="AO58" s="712"/>
      <c r="AP58" s="712"/>
      <c r="AQ58" s="712"/>
      <c r="AR58" s="712"/>
      <c r="AS58" s="712"/>
      <c r="AT58" s="712"/>
      <c r="AU58" s="712"/>
      <c r="AV58" s="712"/>
      <c r="AW58" s="712"/>
      <c r="AX58" s="712"/>
      <c r="AY58" s="712"/>
      <c r="AZ58" s="712"/>
      <c r="BA58" s="712"/>
      <c r="BB58" s="712"/>
      <c r="BC58" s="712"/>
      <c r="BD58" s="712"/>
      <c r="BE58" s="712"/>
      <c r="BF58" s="712"/>
      <c r="BG58" s="712"/>
      <c r="BH58" s="712"/>
      <c r="BI58" s="712"/>
      <c r="BJ58" s="712"/>
      <c r="BK58" s="712"/>
      <c r="BL58" s="712"/>
      <c r="BM58" s="712"/>
      <c r="BN58" s="712"/>
      <c r="BO58" s="712"/>
      <c r="BP58" s="712"/>
      <c r="BQ58" s="712"/>
      <c r="BR58" s="712"/>
      <c r="BS58" s="712"/>
      <c r="BT58" s="712"/>
      <c r="BU58" s="712"/>
      <c r="BV58" s="712"/>
      <c r="BW58" s="712"/>
      <c r="BX58" s="712"/>
      <c r="BY58" s="712"/>
      <c r="BZ58" s="712"/>
      <c r="CA58" s="712"/>
      <c r="CB58" s="712"/>
      <c r="CC58" s="712"/>
      <c r="CD58" s="712"/>
      <c r="CE58" s="712"/>
      <c r="CF58" s="712"/>
      <c r="CG58" s="712"/>
      <c r="CH58" s="712"/>
      <c r="CI58" s="712"/>
      <c r="CJ58" s="712"/>
      <c r="CK58" s="712"/>
      <c r="CL58" s="712"/>
    </row>
    <row r="59" spans="2:90" s="792" customFormat="1"/>
    <row r="60" spans="2:90" s="792" customFormat="1"/>
    <row r="61" spans="2:90" s="745" customFormat="1" ht="15" customHeight="1">
      <c r="C61" s="793"/>
      <c r="D61" s="93"/>
      <c r="E61" s="93"/>
      <c r="F61" s="93"/>
      <c r="G61" s="744"/>
      <c r="H61" s="744"/>
      <c r="I61" s="744"/>
      <c r="J61" s="744"/>
      <c r="K61" s="744"/>
      <c r="L61" s="744"/>
      <c r="M61" s="744"/>
      <c r="N61" s="744"/>
      <c r="O61" s="744"/>
      <c r="P61" s="744"/>
      <c r="Q61" s="744"/>
      <c r="R61" s="744"/>
      <c r="S61" s="744"/>
      <c r="T61" s="744"/>
      <c r="U61" s="744"/>
      <c r="V61" s="744"/>
      <c r="W61" s="744"/>
      <c r="X61" s="744"/>
      <c r="Y61" s="744"/>
      <c r="Z61" s="744"/>
      <c r="AA61" s="744"/>
      <c r="AB61" s="744"/>
      <c r="AC61" s="744"/>
      <c r="AD61" s="744"/>
      <c r="AE61" s="744"/>
      <c r="AF61" s="744"/>
      <c r="AG61" s="744"/>
      <c r="AH61" s="744"/>
      <c r="AI61" s="744"/>
      <c r="AJ61" s="744"/>
      <c r="AK61" s="744"/>
      <c r="AL61" s="744"/>
      <c r="AM61" s="744"/>
      <c r="AN61" s="744"/>
      <c r="AO61" s="744"/>
      <c r="AP61" s="744"/>
      <c r="AQ61" s="744"/>
      <c r="AR61" s="744"/>
      <c r="AS61" s="744"/>
      <c r="AT61" s="744"/>
      <c r="AU61" s="744"/>
      <c r="AV61" s="744"/>
      <c r="AW61" s="744"/>
      <c r="AX61" s="744"/>
      <c r="AY61" s="744"/>
      <c r="AZ61" s="744"/>
      <c r="BA61" s="744"/>
      <c r="BB61" s="744"/>
      <c r="BC61" s="744"/>
      <c r="BD61" s="744"/>
      <c r="BE61" s="744"/>
      <c r="BF61" s="744"/>
      <c r="BG61" s="744"/>
      <c r="BH61" s="744"/>
      <c r="BI61" s="744"/>
      <c r="BJ61" s="744"/>
      <c r="BK61" s="744"/>
      <c r="BL61" s="744"/>
      <c r="BM61" s="744"/>
      <c r="BN61" s="744"/>
      <c r="BO61" s="744"/>
      <c r="BP61" s="744"/>
      <c r="BQ61" s="744"/>
      <c r="BR61" s="744"/>
      <c r="BS61" s="744"/>
      <c r="BT61" s="744"/>
      <c r="BU61" s="744"/>
      <c r="BV61" s="744"/>
      <c r="BW61" s="744"/>
      <c r="BX61" s="744"/>
      <c r="BY61" s="744"/>
      <c r="BZ61" s="744"/>
      <c r="CA61" s="744"/>
      <c r="CB61" s="744"/>
      <c r="CC61" s="744"/>
      <c r="CD61" s="744"/>
      <c r="CE61" s="744"/>
      <c r="CF61" s="744"/>
      <c r="CG61" s="744"/>
      <c r="CH61" s="744"/>
      <c r="CI61" s="744"/>
      <c r="CJ61" s="744"/>
      <c r="CK61" s="744"/>
      <c r="CL61" s="744"/>
    </row>
    <row r="62" spans="2:90" s="96" customFormat="1" ht="15" customHeight="1">
      <c r="C62" s="794"/>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79"/>
      <c r="BY62" s="179"/>
      <c r="BZ62" s="179"/>
      <c r="CA62" s="179"/>
      <c r="CB62" s="179"/>
      <c r="CC62" s="179"/>
      <c r="CD62" s="179"/>
      <c r="CE62" s="179"/>
      <c r="CF62" s="179"/>
      <c r="CG62" s="179"/>
      <c r="CH62" s="179"/>
      <c r="CI62" s="179"/>
      <c r="CJ62" s="179"/>
      <c r="CK62" s="179"/>
      <c r="CL62" s="179"/>
    </row>
    <row r="63" spans="2:90" s="96" customFormat="1" ht="15" customHeight="1">
      <c r="C63" s="788"/>
      <c r="D63" s="563"/>
      <c r="E63" s="795"/>
      <c r="F63" s="97"/>
      <c r="G63" s="708"/>
      <c r="H63" s="708"/>
      <c r="I63" s="708"/>
      <c r="J63" s="708"/>
      <c r="K63" s="708"/>
      <c r="L63" s="708"/>
      <c r="M63" s="708"/>
      <c r="N63" s="708"/>
      <c r="O63" s="708"/>
      <c r="P63" s="708"/>
      <c r="Q63" s="708"/>
      <c r="R63" s="708"/>
      <c r="S63" s="708"/>
      <c r="T63" s="708"/>
      <c r="U63" s="708"/>
      <c r="V63" s="708"/>
      <c r="W63" s="708"/>
      <c r="X63" s="708"/>
      <c r="Y63" s="708"/>
      <c r="Z63" s="708"/>
      <c r="AA63" s="708"/>
      <c r="AB63" s="708"/>
      <c r="AC63" s="708"/>
      <c r="AD63" s="708"/>
      <c r="AE63" s="708"/>
      <c r="AF63" s="708"/>
      <c r="AG63" s="708"/>
      <c r="AH63" s="708"/>
      <c r="AI63" s="708"/>
      <c r="AJ63" s="708"/>
      <c r="AK63" s="708"/>
      <c r="AL63" s="708"/>
      <c r="AM63" s="708"/>
      <c r="AN63" s="708"/>
      <c r="AO63" s="708"/>
      <c r="AP63" s="708"/>
      <c r="AQ63" s="708"/>
      <c r="AR63" s="708"/>
      <c r="AS63" s="708"/>
      <c r="AT63" s="708"/>
      <c r="AU63" s="708"/>
      <c r="AV63" s="708"/>
      <c r="AW63" s="708"/>
      <c r="AX63" s="708"/>
      <c r="AY63" s="708"/>
      <c r="AZ63" s="708"/>
      <c r="BA63" s="708"/>
      <c r="BB63" s="708"/>
      <c r="BC63" s="708"/>
      <c r="BD63" s="708"/>
      <c r="BE63" s="708"/>
      <c r="BF63" s="708"/>
      <c r="BG63" s="708"/>
      <c r="BH63" s="708"/>
      <c r="BI63" s="708"/>
      <c r="BJ63" s="708"/>
      <c r="BK63" s="708"/>
      <c r="BL63" s="708"/>
      <c r="BM63" s="708"/>
      <c r="BN63" s="708"/>
      <c r="BO63" s="708"/>
      <c r="BP63" s="708"/>
      <c r="BQ63" s="708"/>
      <c r="BR63" s="708"/>
      <c r="BS63" s="708"/>
      <c r="BT63" s="708"/>
      <c r="BU63" s="708"/>
      <c r="BV63" s="708"/>
      <c r="BW63" s="708"/>
      <c r="BX63" s="708"/>
      <c r="BY63" s="708"/>
      <c r="BZ63" s="708"/>
      <c r="CA63" s="708"/>
      <c r="CB63" s="708"/>
      <c r="CC63" s="708"/>
      <c r="CD63" s="708"/>
      <c r="CE63" s="708"/>
      <c r="CF63" s="708"/>
      <c r="CG63" s="708"/>
      <c r="CH63" s="708"/>
      <c r="CI63" s="708"/>
      <c r="CJ63" s="708"/>
      <c r="CK63" s="708"/>
      <c r="CL63" s="708"/>
    </row>
    <row r="64" spans="2:90" s="96" customFormat="1" ht="15" customHeight="1">
      <c r="C64" s="788"/>
      <c r="D64" s="563"/>
      <c r="E64" s="795"/>
      <c r="F64" s="97"/>
      <c r="G64" s="708"/>
      <c r="H64" s="708"/>
      <c r="I64" s="708"/>
      <c r="J64" s="708"/>
      <c r="K64" s="708"/>
      <c r="L64" s="708"/>
      <c r="M64" s="708"/>
      <c r="N64" s="708"/>
      <c r="O64" s="708"/>
      <c r="P64" s="708"/>
      <c r="Q64" s="708"/>
      <c r="R64" s="708"/>
      <c r="S64" s="708"/>
      <c r="T64" s="708"/>
      <c r="U64" s="708"/>
      <c r="V64" s="708"/>
      <c r="W64" s="708"/>
      <c r="X64" s="708"/>
      <c r="Y64" s="708"/>
      <c r="Z64" s="708"/>
      <c r="AA64" s="708"/>
      <c r="AB64" s="708"/>
      <c r="AC64" s="708"/>
      <c r="AD64" s="708"/>
      <c r="AE64" s="708"/>
      <c r="AF64" s="708"/>
      <c r="AG64" s="708"/>
      <c r="AH64" s="708"/>
      <c r="AI64" s="708"/>
      <c r="AJ64" s="708"/>
      <c r="AK64" s="708"/>
      <c r="AL64" s="708"/>
      <c r="AM64" s="708"/>
      <c r="AN64" s="708"/>
      <c r="AO64" s="708"/>
      <c r="AP64" s="708"/>
      <c r="AQ64" s="708"/>
      <c r="AR64" s="708"/>
      <c r="AS64" s="708"/>
      <c r="AT64" s="708"/>
      <c r="AU64" s="708"/>
      <c r="AV64" s="708"/>
      <c r="AW64" s="708"/>
      <c r="AX64" s="708"/>
      <c r="AY64" s="708"/>
      <c r="AZ64" s="708"/>
      <c r="BA64" s="708"/>
      <c r="BB64" s="708"/>
      <c r="BC64" s="708"/>
      <c r="BD64" s="708"/>
      <c r="BE64" s="708"/>
      <c r="BF64" s="708"/>
      <c r="BG64" s="708"/>
      <c r="BH64" s="708"/>
      <c r="BI64" s="708"/>
      <c r="BJ64" s="708"/>
      <c r="BK64" s="708"/>
      <c r="BL64" s="708"/>
      <c r="BM64" s="708"/>
      <c r="BN64" s="708"/>
      <c r="BO64" s="708"/>
      <c r="BP64" s="708"/>
      <c r="BQ64" s="708"/>
      <c r="BR64" s="708"/>
      <c r="BS64" s="708"/>
      <c r="BT64" s="708"/>
      <c r="BU64" s="708"/>
      <c r="BV64" s="708"/>
      <c r="BW64" s="708"/>
      <c r="BX64" s="708"/>
      <c r="BY64" s="708"/>
      <c r="BZ64" s="708"/>
      <c r="CA64" s="708"/>
      <c r="CB64" s="708"/>
      <c r="CC64" s="708"/>
      <c r="CD64" s="708"/>
      <c r="CE64" s="708"/>
      <c r="CF64" s="708"/>
      <c r="CG64" s="708"/>
      <c r="CH64" s="708"/>
      <c r="CI64" s="708"/>
      <c r="CJ64" s="708"/>
      <c r="CK64" s="708"/>
      <c r="CL64" s="708"/>
    </row>
    <row r="65" spans="3:90" s="96" customFormat="1" ht="15" customHeight="1">
      <c r="C65" s="788"/>
      <c r="D65" s="563"/>
      <c r="E65" s="795"/>
      <c r="F65" s="97"/>
      <c r="G65" s="708"/>
      <c r="H65" s="708"/>
      <c r="I65" s="708"/>
      <c r="J65" s="708"/>
      <c r="K65" s="708"/>
      <c r="L65" s="708"/>
      <c r="M65" s="708"/>
      <c r="N65" s="708"/>
      <c r="O65" s="708"/>
      <c r="P65" s="708"/>
      <c r="Q65" s="708"/>
      <c r="R65" s="708"/>
      <c r="S65" s="708"/>
      <c r="T65" s="708"/>
      <c r="U65" s="708"/>
      <c r="V65" s="708"/>
      <c r="W65" s="708"/>
      <c r="X65" s="708"/>
      <c r="Y65" s="708"/>
      <c r="Z65" s="708"/>
      <c r="AA65" s="708"/>
      <c r="AB65" s="708"/>
      <c r="AC65" s="708"/>
      <c r="AD65" s="708"/>
      <c r="AE65" s="708"/>
      <c r="AF65" s="708"/>
      <c r="AG65" s="708"/>
      <c r="AH65" s="708"/>
      <c r="AI65" s="708"/>
      <c r="AJ65" s="708"/>
      <c r="AK65" s="708"/>
      <c r="AL65" s="708"/>
      <c r="AM65" s="708"/>
      <c r="AN65" s="708"/>
      <c r="AO65" s="708"/>
      <c r="AP65" s="708"/>
      <c r="AQ65" s="708"/>
      <c r="AR65" s="708"/>
      <c r="AS65" s="708"/>
      <c r="AT65" s="708"/>
      <c r="AU65" s="708"/>
      <c r="AV65" s="708"/>
      <c r="AW65" s="708"/>
      <c r="AX65" s="708"/>
      <c r="AY65" s="708"/>
      <c r="AZ65" s="708"/>
      <c r="BA65" s="708"/>
      <c r="BB65" s="708"/>
      <c r="BC65" s="708"/>
      <c r="BD65" s="708"/>
      <c r="BE65" s="708"/>
      <c r="BF65" s="708"/>
      <c r="BG65" s="708"/>
      <c r="BH65" s="708"/>
      <c r="BI65" s="708"/>
      <c r="BJ65" s="708"/>
      <c r="BK65" s="708"/>
      <c r="BL65" s="708"/>
      <c r="BM65" s="708"/>
      <c r="BN65" s="708"/>
      <c r="BO65" s="708"/>
      <c r="BP65" s="708"/>
      <c r="BQ65" s="708"/>
      <c r="BR65" s="708"/>
      <c r="BS65" s="708"/>
      <c r="BT65" s="708"/>
      <c r="BU65" s="708"/>
      <c r="BV65" s="708"/>
      <c r="BW65" s="708"/>
      <c r="BX65" s="708"/>
      <c r="BY65" s="708"/>
      <c r="BZ65" s="708"/>
      <c r="CA65" s="708"/>
      <c r="CB65" s="708"/>
      <c r="CC65" s="708"/>
      <c r="CD65" s="708"/>
      <c r="CE65" s="708"/>
      <c r="CF65" s="708"/>
      <c r="CG65" s="708"/>
      <c r="CH65" s="708"/>
      <c r="CI65" s="708"/>
      <c r="CJ65" s="708"/>
      <c r="CK65" s="708"/>
      <c r="CL65" s="708"/>
    </row>
    <row r="66" spans="3:90" s="96" customFormat="1" ht="15" customHeight="1">
      <c r="C66" s="788"/>
      <c r="D66" s="563"/>
      <c r="E66" s="796"/>
      <c r="F66" s="97"/>
      <c r="G66" s="708"/>
      <c r="H66" s="708"/>
      <c r="I66" s="708"/>
      <c r="J66" s="708"/>
      <c r="K66" s="708"/>
      <c r="L66" s="708"/>
      <c r="M66" s="708"/>
      <c r="N66" s="708"/>
      <c r="O66" s="708"/>
      <c r="P66" s="708"/>
      <c r="Q66" s="708"/>
      <c r="R66" s="708"/>
      <c r="S66" s="708"/>
      <c r="T66" s="708"/>
      <c r="U66" s="708"/>
      <c r="V66" s="708"/>
      <c r="W66" s="708"/>
      <c r="X66" s="708"/>
      <c r="Y66" s="708"/>
      <c r="Z66" s="708"/>
      <c r="AA66" s="708"/>
      <c r="AB66" s="708"/>
      <c r="AC66" s="708"/>
      <c r="AD66" s="708"/>
      <c r="AE66" s="708"/>
      <c r="AF66" s="708"/>
      <c r="AG66" s="708"/>
      <c r="AH66" s="708"/>
      <c r="AI66" s="708"/>
      <c r="AJ66" s="708"/>
      <c r="AK66" s="708"/>
      <c r="AL66" s="708"/>
      <c r="AM66" s="708"/>
      <c r="AN66" s="708"/>
      <c r="AO66" s="708"/>
      <c r="AP66" s="708"/>
      <c r="AQ66" s="708"/>
      <c r="AR66" s="708"/>
      <c r="AS66" s="708"/>
      <c r="AT66" s="708"/>
      <c r="AU66" s="708"/>
      <c r="AV66" s="708"/>
      <c r="AW66" s="708"/>
      <c r="AX66" s="708"/>
      <c r="AY66" s="708"/>
      <c r="AZ66" s="708"/>
      <c r="BA66" s="708"/>
      <c r="BB66" s="708"/>
      <c r="BC66" s="708"/>
      <c r="BD66" s="708"/>
      <c r="BE66" s="708"/>
      <c r="BF66" s="708"/>
      <c r="BG66" s="708"/>
      <c r="BH66" s="708"/>
      <c r="BI66" s="708"/>
      <c r="BJ66" s="708"/>
      <c r="BK66" s="708"/>
      <c r="BL66" s="708"/>
      <c r="BM66" s="708"/>
      <c r="BN66" s="708"/>
      <c r="BO66" s="708"/>
      <c r="BP66" s="708"/>
      <c r="BQ66" s="708"/>
      <c r="BR66" s="708"/>
      <c r="BS66" s="708"/>
      <c r="BT66" s="708"/>
      <c r="BU66" s="708"/>
      <c r="BV66" s="708"/>
      <c r="BW66" s="708"/>
      <c r="BX66" s="708"/>
      <c r="BY66" s="708"/>
      <c r="BZ66" s="708"/>
      <c r="CA66" s="708"/>
      <c r="CB66" s="708"/>
      <c r="CC66" s="708"/>
      <c r="CD66" s="708"/>
      <c r="CE66" s="708"/>
      <c r="CF66" s="708"/>
      <c r="CG66" s="708"/>
      <c r="CH66" s="708"/>
      <c r="CI66" s="708"/>
      <c r="CJ66" s="708"/>
      <c r="CK66" s="708"/>
      <c r="CL66" s="708"/>
    </row>
    <row r="67" spans="3:90" s="96" customFormat="1" ht="15" customHeight="1">
      <c r="D67" s="95"/>
      <c r="E67" s="556"/>
      <c r="F67" s="95"/>
    </row>
    <row r="68" spans="3:90" s="96" customFormat="1" ht="15" hidden="1" customHeight="1">
      <c r="D68" s="95"/>
      <c r="E68" s="556"/>
      <c r="F68" s="95"/>
      <c r="G68" s="797"/>
      <c r="H68" s="798"/>
      <c r="I68" s="494"/>
      <c r="J68" s="798"/>
      <c r="K68" s="798"/>
      <c r="L68" s="799"/>
      <c r="M68" s="798"/>
      <c r="N68" s="797"/>
      <c r="O68" s="798"/>
      <c r="P68" s="494"/>
      <c r="Q68" s="798"/>
      <c r="R68" s="798"/>
      <c r="S68" s="799"/>
      <c r="T68" s="799"/>
    </row>
    <row r="69" spans="3:90" s="96" customFormat="1" ht="15" hidden="1" customHeight="1">
      <c r="D69" s="95"/>
      <c r="E69" s="556"/>
      <c r="F69" s="95"/>
      <c r="G69" s="501"/>
      <c r="H69" s="798"/>
      <c r="I69" s="798"/>
      <c r="J69" s="798"/>
      <c r="K69" s="798"/>
      <c r="L69" s="800"/>
      <c r="M69" s="798"/>
      <c r="N69" s="801"/>
      <c r="O69" s="798"/>
      <c r="P69" s="798"/>
      <c r="Q69" s="798"/>
      <c r="R69" s="798"/>
      <c r="S69" s="802"/>
      <c r="T69" s="802"/>
    </row>
    <row r="70" spans="3:90" s="96" customFormat="1" ht="15" hidden="1" customHeight="1">
      <c r="D70" s="95"/>
      <c r="E70" s="556"/>
      <c r="F70" s="95"/>
      <c r="G70" s="801"/>
      <c r="H70" s="798"/>
      <c r="I70" s="803"/>
      <c r="J70" s="798"/>
      <c r="K70" s="798"/>
      <c r="L70" s="804"/>
      <c r="M70" s="798"/>
      <c r="N70" s="801"/>
      <c r="O70" s="798"/>
      <c r="P70" s="798"/>
      <c r="Q70" s="798"/>
      <c r="R70" s="798"/>
      <c r="S70" s="802"/>
      <c r="T70" s="802"/>
    </row>
    <row r="71" spans="3:90" s="96" customFormat="1" ht="15" customHeight="1">
      <c r="S71" s="805"/>
      <c r="T71" s="805"/>
      <c r="U71" s="805"/>
      <c r="V71" s="805"/>
      <c r="W71" s="805"/>
      <c r="X71" s="805"/>
    </row>
    <row r="72" spans="3:90" s="96" customFormat="1" ht="15" customHeight="1">
      <c r="C72" s="793"/>
      <c r="D72" s="93"/>
      <c r="E72" s="93"/>
      <c r="F72" s="95"/>
      <c r="G72" s="801"/>
      <c r="H72" s="798"/>
      <c r="I72" s="803"/>
      <c r="J72" s="798"/>
      <c r="K72" s="798"/>
      <c r="L72" s="804"/>
      <c r="M72" s="798"/>
      <c r="N72" s="801"/>
      <c r="O72" s="798"/>
      <c r="P72" s="798"/>
      <c r="Q72" s="798"/>
      <c r="R72" s="798"/>
      <c r="S72" s="802"/>
      <c r="T72" s="802"/>
    </row>
    <row r="73" spans="3:90" s="96" customFormat="1" ht="15" customHeight="1">
      <c r="C73" s="794"/>
      <c r="D73" s="179"/>
      <c r="E73" s="179"/>
      <c r="F73" s="95"/>
      <c r="G73" s="801"/>
      <c r="H73" s="798"/>
      <c r="I73" s="803"/>
      <c r="J73" s="798"/>
      <c r="K73" s="798"/>
      <c r="L73" s="804"/>
      <c r="M73" s="798"/>
      <c r="N73" s="801"/>
      <c r="O73" s="798"/>
      <c r="P73" s="798"/>
      <c r="Q73" s="798"/>
      <c r="R73" s="798"/>
      <c r="S73" s="802"/>
      <c r="T73" s="802"/>
    </row>
    <row r="74" spans="3:90" s="96" customFormat="1" ht="15" customHeight="1">
      <c r="C74" s="788"/>
      <c r="D74" s="563"/>
      <c r="E74" s="795"/>
      <c r="F74" s="95"/>
      <c r="G74" s="801"/>
      <c r="H74" s="798"/>
      <c r="I74" s="803"/>
      <c r="J74" s="798"/>
      <c r="K74" s="798"/>
      <c r="L74" s="804"/>
      <c r="M74" s="798"/>
      <c r="N74" s="801"/>
      <c r="O74" s="798"/>
      <c r="P74" s="798"/>
      <c r="Q74" s="798"/>
      <c r="R74" s="798"/>
      <c r="S74" s="802"/>
      <c r="T74" s="802"/>
    </row>
    <row r="75" spans="3:90" s="96" customFormat="1" ht="15" customHeight="1">
      <c r="C75" s="788"/>
      <c r="D75" s="563"/>
      <c r="E75" s="708"/>
      <c r="F75" s="95"/>
      <c r="G75" s="620"/>
      <c r="H75" s="798"/>
      <c r="I75" s="803"/>
      <c r="J75" s="798"/>
      <c r="K75" s="798"/>
      <c r="L75" s="804"/>
      <c r="M75" s="798"/>
      <c r="N75" s="801"/>
      <c r="O75" s="798"/>
      <c r="P75" s="798"/>
      <c r="Q75" s="708"/>
      <c r="R75" s="708"/>
      <c r="S75" s="708"/>
      <c r="T75" s="708"/>
      <c r="U75" s="708"/>
      <c r="V75" s="708"/>
      <c r="W75" s="708"/>
      <c r="X75" s="708"/>
      <c r="Y75" s="708"/>
      <c r="Z75" s="708"/>
      <c r="AA75" s="708"/>
      <c r="AB75" s="708"/>
      <c r="AC75" s="708"/>
      <c r="AD75" s="708"/>
      <c r="AE75" s="708"/>
      <c r="AF75" s="708"/>
      <c r="AG75" s="708"/>
      <c r="AH75" s="708"/>
      <c r="AI75" s="708"/>
      <c r="AJ75" s="708"/>
      <c r="AK75" s="708"/>
      <c r="AL75" s="708"/>
      <c r="AM75" s="708"/>
      <c r="AN75" s="708"/>
      <c r="AO75" s="708"/>
      <c r="AP75" s="708"/>
      <c r="AQ75" s="708"/>
      <c r="AR75" s="708"/>
      <c r="AS75" s="708"/>
      <c r="AT75" s="708"/>
      <c r="AU75" s="708"/>
      <c r="AV75" s="708"/>
      <c r="AW75" s="708"/>
      <c r="AX75" s="708"/>
      <c r="AY75" s="708"/>
      <c r="AZ75" s="708"/>
      <c r="BA75" s="708"/>
      <c r="BB75" s="708"/>
      <c r="BC75" s="708"/>
      <c r="BD75" s="708"/>
      <c r="BE75" s="708"/>
      <c r="BF75" s="708"/>
      <c r="BG75" s="708"/>
      <c r="BH75" s="708"/>
      <c r="BI75" s="708"/>
      <c r="BJ75" s="708"/>
      <c r="BK75" s="708"/>
      <c r="BL75" s="708"/>
      <c r="BM75" s="708"/>
      <c r="BN75" s="708"/>
      <c r="BO75" s="708"/>
      <c r="BP75" s="708"/>
      <c r="BQ75" s="708"/>
      <c r="BR75" s="708"/>
      <c r="BS75" s="708"/>
      <c r="BT75" s="708"/>
      <c r="BU75" s="708"/>
      <c r="BV75" s="708"/>
      <c r="BW75" s="708"/>
      <c r="BX75" s="708"/>
      <c r="BY75" s="708"/>
      <c r="BZ75" s="708"/>
      <c r="CA75" s="708"/>
      <c r="CB75" s="708"/>
      <c r="CC75" s="708"/>
      <c r="CD75" s="708"/>
      <c r="CE75" s="708"/>
      <c r="CF75" s="708"/>
      <c r="CG75" s="708"/>
      <c r="CH75" s="708"/>
      <c r="CI75" s="708"/>
      <c r="CJ75" s="708"/>
      <c r="CK75" s="708"/>
      <c r="CL75" s="708"/>
    </row>
    <row r="76" spans="3:90" s="96" customFormat="1" ht="15" customHeight="1">
      <c r="C76" s="788"/>
      <c r="D76" s="563"/>
      <c r="E76" s="708"/>
      <c r="F76" s="95"/>
      <c r="G76" s="620"/>
      <c r="H76" s="798"/>
      <c r="I76" s="803"/>
      <c r="J76" s="798"/>
      <c r="K76" s="708"/>
      <c r="L76" s="804"/>
      <c r="M76" s="798"/>
      <c r="N76" s="801"/>
      <c r="O76" s="798"/>
      <c r="P76" s="798"/>
      <c r="Q76" s="708"/>
      <c r="R76" s="708"/>
      <c r="S76" s="708"/>
      <c r="T76" s="708"/>
      <c r="U76" s="708"/>
      <c r="V76" s="708"/>
      <c r="W76" s="708"/>
      <c r="X76" s="708"/>
      <c r="Y76" s="708"/>
      <c r="Z76" s="708"/>
      <c r="AA76" s="708"/>
      <c r="AB76" s="708"/>
      <c r="AC76" s="708"/>
      <c r="AD76" s="708"/>
      <c r="AE76" s="708"/>
      <c r="AF76" s="708"/>
      <c r="AG76" s="708"/>
      <c r="AH76" s="708"/>
      <c r="AI76" s="708"/>
      <c r="AJ76" s="708"/>
      <c r="AK76" s="708"/>
      <c r="AL76" s="708"/>
      <c r="AM76" s="708"/>
      <c r="AN76" s="708"/>
      <c r="AO76" s="708"/>
      <c r="AP76" s="708"/>
      <c r="AQ76" s="708"/>
      <c r="AR76" s="708"/>
      <c r="AS76" s="708"/>
      <c r="AT76" s="708"/>
      <c r="AU76" s="708"/>
      <c r="AV76" s="708"/>
      <c r="AW76" s="708"/>
      <c r="AX76" s="708"/>
      <c r="AY76" s="708"/>
      <c r="AZ76" s="708"/>
      <c r="BA76" s="708"/>
      <c r="BB76" s="708"/>
      <c r="BC76" s="708"/>
      <c r="BD76" s="708"/>
      <c r="BE76" s="708"/>
      <c r="BF76" s="708"/>
      <c r="BG76" s="708"/>
      <c r="BH76" s="708"/>
      <c r="BI76" s="708"/>
      <c r="BJ76" s="708"/>
      <c r="BK76" s="708"/>
      <c r="BL76" s="708"/>
      <c r="BM76" s="708"/>
      <c r="BN76" s="708"/>
      <c r="BO76" s="708"/>
      <c r="BP76" s="708"/>
      <c r="BQ76" s="708"/>
      <c r="BR76" s="708"/>
      <c r="BS76" s="708"/>
      <c r="BT76" s="708"/>
      <c r="BU76" s="708"/>
      <c r="BV76" s="708"/>
      <c r="BW76" s="708"/>
      <c r="BX76" s="708"/>
      <c r="BY76" s="708"/>
      <c r="BZ76" s="708"/>
      <c r="CA76" s="708"/>
      <c r="CB76" s="708"/>
      <c r="CC76" s="708"/>
      <c r="CD76" s="708"/>
      <c r="CE76" s="708"/>
      <c r="CF76" s="708"/>
      <c r="CG76" s="708"/>
      <c r="CH76" s="708"/>
      <c r="CI76" s="708"/>
      <c r="CJ76" s="708"/>
      <c r="CK76" s="708"/>
      <c r="CL76" s="708"/>
    </row>
    <row r="77" spans="3:90" s="96" customFormat="1" ht="15" customHeight="1">
      <c r="C77" s="788"/>
      <c r="D77" s="563"/>
      <c r="E77" s="806"/>
      <c r="F77" s="95"/>
      <c r="G77" s="801"/>
      <c r="H77" s="798"/>
      <c r="I77" s="803"/>
      <c r="J77" s="798"/>
      <c r="K77" s="798"/>
      <c r="L77" s="804"/>
      <c r="M77" s="798"/>
      <c r="N77" s="801"/>
      <c r="O77" s="798"/>
      <c r="P77" s="798"/>
      <c r="Q77" s="798"/>
      <c r="R77" s="798"/>
      <c r="S77" s="802"/>
      <c r="T77" s="802"/>
    </row>
    <row r="78" spans="3:90" s="96" customFormat="1" ht="15" customHeight="1">
      <c r="D78" s="95"/>
      <c r="E78" s="807"/>
      <c r="F78" s="95"/>
      <c r="G78" s="801"/>
      <c r="H78" s="798"/>
      <c r="I78" s="803"/>
      <c r="J78" s="798"/>
      <c r="K78" s="798"/>
      <c r="L78" s="804"/>
      <c r="M78" s="798"/>
      <c r="N78" s="801"/>
      <c r="O78" s="798"/>
      <c r="P78" s="798"/>
      <c r="Q78" s="798"/>
      <c r="R78" s="798"/>
      <c r="S78" s="802"/>
      <c r="T78" s="802"/>
    </row>
    <row r="79" spans="3:90" s="96" customFormat="1" ht="15" customHeight="1">
      <c r="D79" s="95"/>
      <c r="E79" s="556"/>
      <c r="F79" s="95"/>
      <c r="G79" s="501"/>
      <c r="H79" s="501"/>
      <c r="I79" s="501"/>
      <c r="J79" s="501"/>
      <c r="K79" s="501"/>
      <c r="L79" s="501"/>
      <c r="M79" s="501"/>
      <c r="N79" s="501"/>
      <c r="O79" s="501"/>
      <c r="P79" s="501"/>
      <c r="Q79" s="501"/>
      <c r="R79" s="501"/>
      <c r="S79" s="501"/>
      <c r="T79" s="501"/>
    </row>
    <row r="80" spans="3:90" s="96" customFormat="1" ht="15" customHeight="1">
      <c r="C80" s="793"/>
      <c r="D80" s="95"/>
      <c r="E80" s="556"/>
      <c r="F80" s="95"/>
    </row>
    <row r="81" spans="3:90" s="96" customFormat="1" ht="15" customHeight="1">
      <c r="C81" s="794"/>
      <c r="D81" s="179"/>
      <c r="E81" s="179"/>
      <c r="F81" s="179"/>
      <c r="G81" s="744"/>
      <c r="H81" s="744"/>
      <c r="I81" s="744"/>
      <c r="J81" s="744"/>
      <c r="K81" s="744"/>
      <c r="L81" s="744"/>
      <c r="M81" s="744"/>
      <c r="N81" s="744"/>
      <c r="O81" s="744"/>
      <c r="P81" s="744"/>
      <c r="Q81" s="744"/>
      <c r="R81" s="744"/>
      <c r="S81" s="744"/>
      <c r="T81" s="744"/>
      <c r="U81" s="744"/>
      <c r="V81" s="744"/>
      <c r="W81" s="744"/>
      <c r="X81" s="744"/>
      <c r="Y81" s="744"/>
      <c r="Z81" s="744"/>
      <c r="AA81" s="744"/>
      <c r="AB81" s="744"/>
      <c r="AC81" s="744"/>
      <c r="AD81" s="744"/>
      <c r="AE81" s="744"/>
      <c r="AF81" s="744"/>
      <c r="AG81" s="744"/>
      <c r="AH81" s="744"/>
      <c r="AI81" s="744"/>
      <c r="AJ81" s="744"/>
      <c r="AK81" s="744"/>
      <c r="AL81" s="744"/>
      <c r="AM81" s="744"/>
      <c r="AN81" s="744"/>
      <c r="AO81" s="744"/>
      <c r="AP81" s="744"/>
      <c r="AQ81" s="744"/>
      <c r="AR81" s="744"/>
      <c r="AS81" s="744"/>
      <c r="AT81" s="744"/>
      <c r="AU81" s="744"/>
      <c r="AV81" s="744"/>
      <c r="AW81" s="744"/>
      <c r="AX81" s="744"/>
      <c r="AY81" s="744"/>
      <c r="AZ81" s="744"/>
      <c r="BA81" s="744"/>
      <c r="BB81" s="744"/>
      <c r="BC81" s="744"/>
      <c r="BD81" s="744"/>
      <c r="BE81" s="744"/>
      <c r="BF81" s="744"/>
      <c r="BG81" s="744"/>
      <c r="BH81" s="744"/>
      <c r="BI81" s="744"/>
      <c r="BJ81" s="744"/>
      <c r="BK81" s="744"/>
      <c r="BL81" s="744"/>
      <c r="BM81" s="744"/>
      <c r="BN81" s="744"/>
      <c r="BO81" s="744"/>
      <c r="BP81" s="744"/>
      <c r="BQ81" s="744"/>
      <c r="BR81" s="744"/>
      <c r="BS81" s="744"/>
      <c r="BT81" s="744"/>
      <c r="BU81" s="744"/>
      <c r="BV81" s="744"/>
      <c r="BW81" s="744"/>
      <c r="BX81" s="744"/>
      <c r="BY81" s="744"/>
      <c r="BZ81" s="744"/>
      <c r="CA81" s="744"/>
      <c r="CB81" s="744"/>
      <c r="CC81" s="744"/>
      <c r="CD81" s="744"/>
      <c r="CE81" s="744"/>
      <c r="CF81" s="744"/>
      <c r="CG81" s="744"/>
      <c r="CH81" s="744"/>
      <c r="CI81" s="744"/>
      <c r="CJ81" s="744"/>
      <c r="CK81" s="744"/>
      <c r="CL81" s="744"/>
    </row>
    <row r="82" spans="3:90" s="96" customFormat="1" ht="15" customHeight="1">
      <c r="C82" s="586"/>
      <c r="D82" s="95"/>
      <c r="E82" s="789"/>
      <c r="F82" s="95"/>
      <c r="G82" s="95"/>
      <c r="H82" s="95"/>
      <c r="I82" s="95"/>
      <c r="J82" s="95"/>
      <c r="K82" s="95"/>
      <c r="L82" s="95"/>
      <c r="M82" s="95"/>
      <c r="N82" s="95"/>
      <c r="O82" s="95"/>
      <c r="P82" s="95"/>
      <c r="Q82" s="580"/>
      <c r="R82" s="580"/>
      <c r="S82" s="580"/>
      <c r="T82" s="580"/>
      <c r="U82" s="580"/>
      <c r="V82" s="580"/>
      <c r="W82" s="580"/>
      <c r="X82" s="580"/>
      <c r="Y82" s="580"/>
      <c r="Z82" s="580"/>
      <c r="AA82" s="580"/>
      <c r="AB82" s="580"/>
      <c r="AC82" s="580"/>
      <c r="AD82" s="580"/>
      <c r="AE82" s="580"/>
      <c r="AF82" s="580"/>
      <c r="AG82" s="580"/>
      <c r="AH82" s="580"/>
      <c r="AI82" s="580"/>
      <c r="AJ82" s="580"/>
      <c r="AK82" s="580"/>
      <c r="AL82" s="580"/>
      <c r="AM82" s="580"/>
      <c r="AN82" s="580"/>
      <c r="AO82" s="580"/>
      <c r="AP82" s="580"/>
      <c r="AQ82" s="580"/>
      <c r="AR82" s="580"/>
      <c r="AS82" s="580"/>
      <c r="AT82" s="580"/>
      <c r="AU82" s="580"/>
      <c r="AV82" s="580"/>
      <c r="AW82" s="580"/>
      <c r="AX82" s="580"/>
      <c r="AY82" s="580"/>
      <c r="AZ82" s="580"/>
      <c r="BA82" s="580"/>
      <c r="BB82" s="580"/>
      <c r="BC82" s="580"/>
      <c r="BD82" s="580"/>
      <c r="BE82" s="580"/>
      <c r="BF82" s="580"/>
      <c r="BG82" s="580"/>
      <c r="BH82" s="580"/>
      <c r="BI82" s="580"/>
      <c r="BJ82" s="580"/>
      <c r="BK82" s="580"/>
      <c r="BL82" s="580"/>
      <c r="BM82" s="580"/>
      <c r="BN82" s="580"/>
      <c r="BO82" s="580"/>
      <c r="BP82" s="580"/>
      <c r="BQ82" s="580"/>
      <c r="BR82" s="580"/>
      <c r="BS82" s="580"/>
      <c r="BT82" s="580"/>
      <c r="BU82" s="580"/>
      <c r="BV82" s="580"/>
      <c r="BW82" s="580"/>
      <c r="BX82" s="580"/>
      <c r="BY82" s="580"/>
      <c r="BZ82" s="580"/>
      <c r="CA82" s="580"/>
      <c r="CB82" s="580"/>
      <c r="CC82" s="580"/>
      <c r="CD82" s="580"/>
      <c r="CE82" s="580"/>
      <c r="CF82" s="580"/>
      <c r="CG82" s="580"/>
      <c r="CH82" s="580"/>
      <c r="CI82" s="580"/>
      <c r="CJ82" s="580"/>
      <c r="CK82" s="580"/>
      <c r="CL82" s="580"/>
    </row>
    <row r="83" spans="3:90" s="96" customFormat="1" ht="15" customHeight="1">
      <c r="C83" s="586"/>
      <c r="D83" s="95"/>
      <c r="E83" s="789"/>
      <c r="F83" s="95"/>
      <c r="G83" s="95"/>
      <c r="H83" s="95"/>
      <c r="I83" s="95"/>
      <c r="J83" s="95"/>
      <c r="K83" s="95"/>
      <c r="L83" s="95"/>
      <c r="M83" s="95"/>
      <c r="N83" s="95"/>
      <c r="O83" s="95"/>
      <c r="P83" s="95"/>
      <c r="Q83" s="580"/>
      <c r="R83" s="580"/>
      <c r="S83" s="580"/>
      <c r="T83" s="580"/>
      <c r="U83" s="580"/>
      <c r="V83" s="580"/>
      <c r="W83" s="580"/>
      <c r="X83" s="580"/>
      <c r="Y83" s="580"/>
      <c r="Z83" s="580"/>
      <c r="AA83" s="580"/>
      <c r="AB83" s="580"/>
      <c r="AC83" s="580"/>
      <c r="AD83" s="580"/>
      <c r="AE83" s="580"/>
      <c r="AF83" s="580"/>
      <c r="AG83" s="580"/>
      <c r="AH83" s="580"/>
      <c r="AI83" s="580"/>
      <c r="AJ83" s="580"/>
      <c r="AK83" s="580"/>
      <c r="AL83" s="580"/>
      <c r="AM83" s="580"/>
      <c r="AN83" s="580"/>
      <c r="AO83" s="580"/>
      <c r="AP83" s="580"/>
      <c r="AQ83" s="580"/>
      <c r="AR83" s="580"/>
      <c r="AS83" s="580"/>
      <c r="AT83" s="580"/>
      <c r="AU83" s="580"/>
      <c r="AV83" s="580"/>
      <c r="AW83" s="580"/>
      <c r="AX83" s="580"/>
      <c r="AY83" s="580"/>
      <c r="AZ83" s="580"/>
      <c r="BA83" s="580"/>
      <c r="BB83" s="580"/>
      <c r="BC83" s="580"/>
      <c r="BD83" s="580"/>
      <c r="BE83" s="580"/>
      <c r="BF83" s="580"/>
      <c r="BG83" s="580"/>
      <c r="BH83" s="580"/>
      <c r="BI83" s="580"/>
      <c r="BJ83" s="580"/>
      <c r="BK83" s="580"/>
      <c r="BL83" s="580"/>
      <c r="BM83" s="580"/>
      <c r="BN83" s="580"/>
      <c r="BO83" s="580"/>
      <c r="BP83" s="580"/>
      <c r="BQ83" s="580"/>
      <c r="BR83" s="580"/>
      <c r="BS83" s="580"/>
      <c r="BT83" s="580"/>
      <c r="BU83" s="580"/>
      <c r="BV83" s="580"/>
      <c r="BW83" s="580"/>
      <c r="BX83" s="580"/>
      <c r="BY83" s="580"/>
      <c r="BZ83" s="580"/>
      <c r="CA83" s="580"/>
      <c r="CB83" s="580"/>
      <c r="CC83" s="580"/>
      <c r="CD83" s="580"/>
      <c r="CE83" s="580"/>
      <c r="CF83" s="580"/>
      <c r="CG83" s="580"/>
      <c r="CH83" s="580"/>
      <c r="CI83" s="580"/>
      <c r="CJ83" s="580"/>
      <c r="CK83" s="580"/>
      <c r="CL83" s="580"/>
    </row>
    <row r="84" spans="3:90" s="96" customFormat="1" ht="15" customHeight="1">
      <c r="C84" s="586"/>
      <c r="D84" s="95"/>
      <c r="E84" s="789"/>
      <c r="F84" s="95"/>
      <c r="G84" s="95"/>
      <c r="H84" s="95"/>
      <c r="I84" s="95"/>
      <c r="J84" s="95"/>
      <c r="K84" s="95"/>
      <c r="L84" s="95"/>
      <c r="M84" s="95"/>
      <c r="N84" s="95"/>
      <c r="O84" s="95"/>
      <c r="P84" s="95"/>
      <c r="Q84" s="580"/>
      <c r="R84" s="580"/>
      <c r="S84" s="580"/>
      <c r="T84" s="580"/>
      <c r="U84" s="580"/>
      <c r="V84" s="580"/>
      <c r="W84" s="580"/>
      <c r="X84" s="580"/>
      <c r="Y84" s="580"/>
      <c r="Z84" s="580"/>
      <c r="AA84" s="580"/>
      <c r="AB84" s="580"/>
      <c r="AC84" s="580"/>
      <c r="AD84" s="580"/>
      <c r="AE84" s="580"/>
      <c r="AF84" s="580"/>
      <c r="AG84" s="580"/>
      <c r="AH84" s="580"/>
      <c r="AI84" s="580"/>
      <c r="AJ84" s="580"/>
      <c r="AK84" s="580"/>
      <c r="AL84" s="580"/>
      <c r="AM84" s="580"/>
      <c r="AN84" s="580"/>
      <c r="AO84" s="580"/>
      <c r="AP84" s="580"/>
      <c r="AQ84" s="580"/>
      <c r="AR84" s="580"/>
      <c r="AS84" s="580"/>
      <c r="AT84" s="580"/>
      <c r="AU84" s="580"/>
      <c r="AV84" s="580"/>
      <c r="AW84" s="580"/>
      <c r="AX84" s="580"/>
      <c r="AY84" s="580"/>
      <c r="AZ84" s="580"/>
      <c r="BA84" s="580"/>
      <c r="BB84" s="580"/>
      <c r="BC84" s="580"/>
      <c r="BD84" s="580"/>
      <c r="BE84" s="580"/>
      <c r="BF84" s="580"/>
      <c r="BG84" s="580"/>
      <c r="BH84" s="580"/>
      <c r="BI84" s="580"/>
      <c r="BJ84" s="580"/>
      <c r="BK84" s="580"/>
      <c r="BL84" s="580"/>
      <c r="BM84" s="580"/>
      <c r="BN84" s="580"/>
      <c r="BO84" s="580"/>
      <c r="BP84" s="580"/>
      <c r="BQ84" s="580"/>
      <c r="BR84" s="580"/>
      <c r="BS84" s="580"/>
      <c r="BT84" s="580"/>
      <c r="BU84" s="580"/>
      <c r="BV84" s="580"/>
      <c r="BW84" s="580"/>
      <c r="BX84" s="580"/>
      <c r="BY84" s="580"/>
      <c r="BZ84" s="580"/>
      <c r="CA84" s="580"/>
      <c r="CB84" s="580"/>
      <c r="CC84" s="580"/>
      <c r="CD84" s="580"/>
      <c r="CE84" s="580"/>
      <c r="CF84" s="580"/>
      <c r="CG84" s="580"/>
      <c r="CH84" s="580"/>
      <c r="CI84" s="580"/>
      <c r="CJ84" s="580"/>
      <c r="CK84" s="580"/>
      <c r="CL84" s="580"/>
    </row>
    <row r="85" spans="3:90" s="96" customFormat="1" ht="15" customHeight="1">
      <c r="C85" s="788"/>
      <c r="D85" s="808"/>
      <c r="E85" s="715"/>
      <c r="F85" s="558"/>
      <c r="G85" s="708"/>
      <c r="H85" s="708"/>
      <c r="I85" s="708"/>
      <c r="J85" s="708"/>
      <c r="K85" s="708"/>
      <c r="L85" s="708"/>
      <c r="M85" s="708"/>
      <c r="N85" s="708"/>
      <c r="O85" s="708"/>
      <c r="P85" s="708"/>
      <c r="Q85" s="712"/>
      <c r="R85" s="712"/>
      <c r="S85" s="712"/>
      <c r="T85" s="712"/>
      <c r="U85" s="712"/>
      <c r="V85" s="712"/>
      <c r="W85" s="712"/>
      <c r="X85" s="712"/>
      <c r="Y85" s="712"/>
      <c r="Z85" s="712"/>
      <c r="AA85" s="712"/>
      <c r="AB85" s="712"/>
      <c r="AC85" s="712"/>
      <c r="AD85" s="712"/>
      <c r="AE85" s="712"/>
      <c r="AF85" s="712"/>
      <c r="AG85" s="712"/>
      <c r="AH85" s="712"/>
      <c r="AI85" s="712"/>
      <c r="AJ85" s="712"/>
      <c r="AK85" s="712"/>
      <c r="AL85" s="712"/>
      <c r="AM85" s="712"/>
      <c r="AN85" s="712"/>
      <c r="AO85" s="712"/>
      <c r="AP85" s="712"/>
      <c r="AQ85" s="712"/>
      <c r="AR85" s="712"/>
      <c r="AS85" s="712"/>
      <c r="AT85" s="712"/>
      <c r="AU85" s="712"/>
      <c r="AV85" s="712"/>
      <c r="AW85" s="712"/>
      <c r="AX85" s="712"/>
      <c r="AY85" s="712"/>
      <c r="AZ85" s="712"/>
      <c r="BA85" s="712"/>
      <c r="BB85" s="712"/>
      <c r="BC85" s="712"/>
      <c r="BD85" s="712"/>
      <c r="BE85" s="712"/>
      <c r="BF85" s="712"/>
      <c r="BG85" s="712"/>
      <c r="BH85" s="712"/>
      <c r="BI85" s="712"/>
      <c r="BJ85" s="712"/>
      <c r="BK85" s="712"/>
      <c r="BL85" s="712"/>
      <c r="BM85" s="712"/>
      <c r="BN85" s="712"/>
      <c r="BO85" s="712"/>
      <c r="BP85" s="712"/>
      <c r="BQ85" s="712"/>
      <c r="BR85" s="712"/>
      <c r="BS85" s="712"/>
      <c r="BT85" s="712"/>
      <c r="BU85" s="712"/>
      <c r="BV85" s="712"/>
      <c r="BW85" s="712"/>
      <c r="BX85" s="712"/>
      <c r="BY85" s="712"/>
      <c r="BZ85" s="712"/>
      <c r="CA85" s="712"/>
      <c r="CB85" s="712"/>
      <c r="CC85" s="712"/>
      <c r="CD85" s="712"/>
      <c r="CE85" s="712"/>
      <c r="CF85" s="712"/>
      <c r="CG85" s="712"/>
      <c r="CH85" s="712"/>
      <c r="CI85" s="712"/>
      <c r="CJ85" s="712"/>
      <c r="CK85" s="712"/>
      <c r="CL85" s="712"/>
    </row>
    <row r="86" spans="3:90" s="96" customFormat="1" ht="15" customHeight="1">
      <c r="C86" s="788"/>
      <c r="D86" s="95"/>
      <c r="E86" s="715"/>
      <c r="F86" s="97"/>
      <c r="G86" s="708"/>
      <c r="H86" s="708"/>
      <c r="I86" s="708"/>
      <c r="J86" s="708"/>
      <c r="K86" s="708"/>
      <c r="L86" s="708"/>
      <c r="M86" s="708"/>
      <c r="N86" s="708"/>
      <c r="O86" s="708"/>
      <c r="P86" s="708"/>
      <c r="Q86" s="712"/>
      <c r="R86" s="712"/>
      <c r="S86" s="712"/>
      <c r="T86" s="712"/>
      <c r="U86" s="712"/>
      <c r="V86" s="712"/>
      <c r="W86" s="712"/>
      <c r="X86" s="712"/>
      <c r="Y86" s="712"/>
      <c r="Z86" s="712"/>
      <c r="AA86" s="712"/>
      <c r="AB86" s="712"/>
      <c r="AC86" s="712"/>
      <c r="AD86" s="712"/>
      <c r="AE86" s="712"/>
      <c r="AF86" s="712"/>
      <c r="AG86" s="712"/>
      <c r="AH86" s="712"/>
      <c r="AI86" s="712"/>
      <c r="AJ86" s="712"/>
      <c r="AK86" s="712"/>
      <c r="AL86" s="712"/>
      <c r="AM86" s="712"/>
      <c r="AN86" s="712"/>
      <c r="AO86" s="712"/>
      <c r="AP86" s="712"/>
      <c r="AQ86" s="712"/>
      <c r="AR86" s="712"/>
      <c r="AS86" s="712"/>
      <c r="AT86" s="712"/>
      <c r="AU86" s="712"/>
      <c r="AV86" s="712"/>
      <c r="AW86" s="712"/>
      <c r="AX86" s="712"/>
      <c r="AY86" s="712"/>
      <c r="AZ86" s="712"/>
      <c r="BA86" s="712"/>
      <c r="BB86" s="712"/>
      <c r="BC86" s="712"/>
      <c r="BD86" s="712"/>
      <c r="BE86" s="712"/>
      <c r="BF86" s="712"/>
      <c r="BG86" s="712"/>
      <c r="BH86" s="712"/>
      <c r="BI86" s="712"/>
      <c r="BJ86" s="712"/>
      <c r="BK86" s="712"/>
      <c r="BL86" s="712"/>
      <c r="BM86" s="712"/>
      <c r="BN86" s="712"/>
      <c r="BO86" s="712"/>
      <c r="BP86" s="712"/>
      <c r="BQ86" s="712"/>
      <c r="BR86" s="712"/>
      <c r="BS86" s="712"/>
      <c r="BT86" s="712"/>
      <c r="BU86" s="712"/>
      <c r="BV86" s="712"/>
      <c r="BW86" s="712"/>
      <c r="BX86" s="712"/>
      <c r="BY86" s="712"/>
      <c r="BZ86" s="712"/>
      <c r="CA86" s="712"/>
      <c r="CB86" s="712"/>
      <c r="CC86" s="712"/>
      <c r="CD86" s="712"/>
      <c r="CE86" s="712"/>
      <c r="CF86" s="712"/>
      <c r="CG86" s="712"/>
      <c r="CH86" s="712"/>
      <c r="CI86" s="712"/>
      <c r="CJ86" s="712"/>
      <c r="CK86" s="712"/>
      <c r="CL86" s="712"/>
    </row>
    <row r="87" spans="3:90" s="96" customFormat="1" ht="27.95" customHeight="1">
      <c r="C87" s="586"/>
      <c r="D87" s="95"/>
      <c r="E87" s="715"/>
      <c r="F87" s="95"/>
      <c r="G87" s="790"/>
      <c r="H87" s="790"/>
      <c r="I87" s="790"/>
      <c r="J87" s="790"/>
      <c r="K87" s="790"/>
      <c r="L87" s="790"/>
      <c r="M87" s="790"/>
      <c r="N87" s="790"/>
      <c r="O87" s="790"/>
      <c r="P87" s="790"/>
      <c r="Q87" s="790"/>
      <c r="R87" s="790"/>
      <c r="S87" s="790"/>
      <c r="T87" s="790"/>
      <c r="U87" s="790"/>
      <c r="V87" s="790"/>
      <c r="W87" s="790"/>
      <c r="X87" s="790"/>
      <c r="Y87" s="790"/>
      <c r="Z87" s="790"/>
      <c r="AA87" s="790"/>
      <c r="AB87" s="790"/>
      <c r="AC87" s="790"/>
      <c r="AD87" s="790"/>
      <c r="AE87" s="790"/>
      <c r="AF87" s="790"/>
      <c r="AG87" s="790"/>
      <c r="AH87" s="790"/>
      <c r="AI87" s="790"/>
      <c r="AJ87" s="790"/>
      <c r="AK87" s="790"/>
      <c r="AL87" s="790"/>
      <c r="AM87" s="790"/>
      <c r="AN87" s="790"/>
      <c r="AO87" s="790"/>
      <c r="AP87" s="790"/>
      <c r="AQ87" s="790"/>
      <c r="AR87" s="790"/>
      <c r="AS87" s="790"/>
      <c r="AT87" s="790"/>
      <c r="AU87" s="790"/>
      <c r="AV87" s="790"/>
      <c r="AW87" s="790"/>
      <c r="AX87" s="790"/>
      <c r="AY87" s="790"/>
      <c r="AZ87" s="790"/>
      <c r="BA87" s="790"/>
      <c r="BB87" s="790"/>
      <c r="BC87" s="790"/>
      <c r="BD87" s="791"/>
      <c r="BE87" s="791"/>
      <c r="BF87" s="791"/>
      <c r="BG87" s="791"/>
      <c r="BH87" s="791"/>
      <c r="BI87" s="791"/>
      <c r="BJ87" s="791"/>
      <c r="BK87" s="791"/>
      <c r="BL87" s="791"/>
      <c r="BM87" s="791"/>
      <c r="BN87" s="791"/>
      <c r="BO87" s="791"/>
      <c r="BP87" s="791"/>
      <c r="BQ87" s="791"/>
      <c r="BR87" s="791"/>
      <c r="BS87" s="791"/>
      <c r="BT87" s="791"/>
      <c r="BU87" s="791"/>
      <c r="BV87" s="791"/>
      <c r="BW87" s="791"/>
      <c r="BX87" s="791"/>
      <c r="BY87" s="791"/>
      <c r="BZ87" s="791"/>
      <c r="CA87" s="791"/>
      <c r="CB87" s="791"/>
      <c r="CC87" s="791"/>
      <c r="CD87" s="791"/>
      <c r="CE87" s="791"/>
      <c r="CF87" s="791"/>
      <c r="CG87" s="791"/>
      <c r="CH87" s="791"/>
      <c r="CI87" s="791"/>
      <c r="CJ87" s="791"/>
      <c r="CK87" s="791"/>
      <c r="CL87" s="791"/>
    </row>
    <row r="88" spans="3:90" s="96" customFormat="1" ht="27.95" customHeight="1">
      <c r="C88" s="586"/>
      <c r="D88" s="95"/>
      <c r="E88" s="789"/>
      <c r="F88" s="95"/>
      <c r="G88" s="95"/>
      <c r="H88" s="95"/>
      <c r="I88" s="95"/>
      <c r="J88" s="95"/>
      <c r="K88" s="95"/>
      <c r="L88" s="95"/>
      <c r="M88" s="95"/>
      <c r="N88" s="95"/>
      <c r="O88" s="95"/>
      <c r="P88" s="95"/>
      <c r="Q88" s="680"/>
      <c r="R88" s="680"/>
      <c r="S88" s="680"/>
      <c r="T88" s="680"/>
      <c r="U88" s="680"/>
      <c r="V88" s="680"/>
      <c r="W88" s="680"/>
      <c r="X88" s="680"/>
      <c r="Y88" s="680"/>
      <c r="Z88" s="680"/>
      <c r="AA88" s="680"/>
      <c r="AB88" s="680"/>
      <c r="AC88" s="680"/>
      <c r="AD88" s="680"/>
      <c r="AE88" s="680"/>
      <c r="AF88" s="680"/>
      <c r="AG88" s="680"/>
      <c r="AH88" s="680"/>
      <c r="AI88" s="680"/>
      <c r="AJ88" s="680"/>
      <c r="AK88" s="680"/>
      <c r="AL88" s="680"/>
      <c r="AM88" s="680"/>
      <c r="AN88" s="680"/>
      <c r="AO88" s="680"/>
      <c r="AP88" s="680"/>
      <c r="AQ88" s="680"/>
      <c r="AR88" s="680"/>
      <c r="AS88" s="680"/>
      <c r="AT88" s="680"/>
      <c r="AU88" s="680"/>
      <c r="AV88" s="680"/>
      <c r="AW88" s="680"/>
      <c r="AX88" s="680"/>
      <c r="AY88" s="680"/>
      <c r="AZ88" s="680"/>
      <c r="BA88" s="680"/>
      <c r="BB88" s="680"/>
      <c r="BC88" s="680"/>
      <c r="BD88" s="680"/>
      <c r="BE88" s="680"/>
      <c r="BF88" s="680"/>
      <c r="BG88" s="580"/>
      <c r="BH88" s="580"/>
      <c r="BI88" s="580"/>
      <c r="BJ88" s="580"/>
      <c r="BK88" s="580"/>
      <c r="BL88" s="580"/>
      <c r="BM88" s="580"/>
      <c r="BN88" s="580"/>
      <c r="BO88" s="580"/>
      <c r="BP88" s="580"/>
      <c r="BQ88" s="580"/>
      <c r="BR88" s="580"/>
      <c r="BS88" s="580"/>
      <c r="BT88" s="580"/>
      <c r="BU88" s="580"/>
      <c r="BV88" s="580"/>
      <c r="BW88" s="580"/>
      <c r="BX88" s="580"/>
      <c r="BY88" s="580"/>
      <c r="BZ88" s="580"/>
      <c r="CA88" s="580"/>
      <c r="CB88" s="580"/>
      <c r="CC88" s="580"/>
      <c r="CD88" s="580"/>
      <c r="CE88" s="580"/>
      <c r="CF88" s="580"/>
      <c r="CG88" s="580"/>
      <c r="CH88" s="580"/>
      <c r="CI88" s="580"/>
      <c r="CJ88" s="580"/>
      <c r="CK88" s="580"/>
      <c r="CL88" s="580"/>
    </row>
    <row r="89" spans="3:90" s="792" customFormat="1"/>
    <row r="90" spans="3:90" s="792" customFormat="1"/>
    <row r="91" spans="3:90" s="792" customFormat="1"/>
    <row r="92" spans="3:90" s="792" customFormat="1"/>
    <row r="93" spans="3:90" s="792" customFormat="1"/>
    <row r="94" spans="3:90" s="792" customFormat="1"/>
    <row r="95" spans="3:90" s="792" customFormat="1"/>
    <row r="96" spans="3:90" s="792" customFormat="1"/>
    <row r="97" s="792" customFormat="1"/>
    <row r="98" s="792" customFormat="1"/>
    <row r="99" s="792" customFormat="1"/>
    <row r="100" s="792" customFormat="1"/>
    <row r="101" s="792" customFormat="1"/>
    <row r="102" s="792" customFormat="1"/>
    <row r="103" s="792" customFormat="1"/>
    <row r="104" s="792" customFormat="1"/>
    <row r="105" s="792" customFormat="1"/>
    <row r="106" s="792" customFormat="1"/>
    <row r="107" s="792" customFormat="1"/>
    <row r="108" s="792" customFormat="1"/>
    <row r="109" s="792" customFormat="1"/>
    <row r="110" s="792" customFormat="1"/>
    <row r="111" s="792" customFormat="1"/>
    <row r="112" s="792" customFormat="1"/>
    <row r="113" s="792" customFormat="1"/>
    <row r="114" s="792" customFormat="1"/>
    <row r="115" s="792" customFormat="1"/>
    <row r="116" s="792" customFormat="1"/>
    <row r="117" s="792" customFormat="1"/>
    <row r="118" s="792" customFormat="1"/>
    <row r="119" s="792" customFormat="1"/>
    <row r="120" s="792" customFormat="1"/>
    <row r="121" s="792" customFormat="1"/>
    <row r="122" s="792" customFormat="1"/>
    <row r="123" s="792" customFormat="1"/>
    <row r="124" s="792" customFormat="1"/>
    <row r="125" s="792" customFormat="1"/>
    <row r="126" s="792" customFormat="1"/>
    <row r="127" s="792" customFormat="1"/>
    <row r="128" s="792" customFormat="1"/>
    <row r="129" s="792" customFormat="1"/>
    <row r="130" s="792" customFormat="1"/>
    <row r="131" s="792" customFormat="1"/>
    <row r="132" s="792" customFormat="1"/>
    <row r="133" s="792" customFormat="1"/>
    <row r="134" s="792" customFormat="1"/>
    <row r="135" s="792" customFormat="1"/>
    <row r="136" s="792" customFormat="1"/>
    <row r="137" s="792" customFormat="1"/>
    <row r="138" s="792" customFormat="1"/>
    <row r="139" s="792" customFormat="1"/>
    <row r="140" s="792" customFormat="1"/>
    <row r="141" s="792" customFormat="1"/>
    <row r="142" s="792" customFormat="1"/>
  </sheetData>
  <pageMargins left="0.7" right="0.7" top="0.75" bottom="0.75" header="0.3" footer="0.3"/>
  <pageSetup paperSize="9" orientation="portrait" r:id="rId1"/>
  <headerFooter>
    <oddHeader>&amp;R&amp;"Arial,Bold"&amp;16EXD/059(2/2)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W43"/>
  <sheetViews>
    <sheetView zoomScale="130" zoomScaleNormal="130" workbookViewId="0">
      <selection activeCell="G33" sqref="G33"/>
    </sheetView>
  </sheetViews>
  <sheetFormatPr defaultColWidth="11.42578125" defaultRowHeight="12.75"/>
  <cols>
    <col min="1" max="1" width="4.42578125" customWidth="1"/>
    <col min="2" max="2" width="38.42578125" customWidth="1"/>
    <col min="3" max="3" width="10.85546875" customWidth="1"/>
    <col min="5" max="5" width="12.7109375" bestFit="1" customWidth="1"/>
    <col min="7" max="7" width="16.28515625" bestFit="1" customWidth="1"/>
    <col min="8" max="10" width="11.140625" customWidth="1"/>
    <col min="11" max="11" width="18.85546875" customWidth="1"/>
    <col min="17" max="17" width="18.28515625" style="320" bestFit="1" customWidth="1"/>
    <col min="18" max="23" width="10.85546875" style="320"/>
  </cols>
  <sheetData>
    <row r="1" spans="2:22" ht="18">
      <c r="B1" s="707" t="s">
        <v>868</v>
      </c>
    </row>
    <row r="2" spans="2:22">
      <c r="B2" s="281" t="s">
        <v>857</v>
      </c>
    </row>
    <row r="3" spans="2:22">
      <c r="B3" s="281" t="s">
        <v>858</v>
      </c>
      <c r="K3" s="829"/>
      <c r="L3" s="829"/>
      <c r="M3" s="829"/>
      <c r="N3" s="829"/>
      <c r="O3" s="829"/>
      <c r="P3" s="829"/>
    </row>
    <row r="4" spans="2:22">
      <c r="B4" s="281" t="s">
        <v>859</v>
      </c>
    </row>
    <row r="5" spans="2:22">
      <c r="B5" s="281"/>
      <c r="K5" s="335"/>
      <c r="L5" s="335" t="s">
        <v>416</v>
      </c>
      <c r="M5" s="335"/>
      <c r="N5" s="335"/>
      <c r="O5" s="335"/>
      <c r="P5" s="335"/>
    </row>
    <row r="6" spans="2:22" ht="33.75">
      <c r="C6" t="s">
        <v>384</v>
      </c>
      <c r="D6" s="318" t="s">
        <v>379</v>
      </c>
      <c r="E6" s="318" t="s">
        <v>380</v>
      </c>
      <c r="F6" s="318" t="s">
        <v>381</v>
      </c>
      <c r="G6" s="318" t="s">
        <v>382</v>
      </c>
      <c r="H6" s="318" t="s">
        <v>676</v>
      </c>
      <c r="I6" s="318" t="s">
        <v>512</v>
      </c>
      <c r="J6" s="850" t="s">
        <v>869</v>
      </c>
      <c r="K6" s="335"/>
      <c r="L6" s="336" t="s">
        <v>390</v>
      </c>
      <c r="M6" s="336" t="s">
        <v>391</v>
      </c>
      <c r="N6" s="336" t="s">
        <v>397</v>
      </c>
      <c r="O6" s="336" t="s">
        <v>394</v>
      </c>
      <c r="P6" s="336" t="s">
        <v>198</v>
      </c>
    </row>
    <row r="7" spans="2:22">
      <c r="B7" t="s">
        <v>387</v>
      </c>
      <c r="C7" s="317">
        <f>'6. Baseline Appraisal'!D7</f>
        <v>394.75920844285758</v>
      </c>
      <c r="D7">
        <f>Cover!F14*(1-Cover!F15)</f>
        <v>14699.999999999998</v>
      </c>
      <c r="E7" s="323">
        <f>D7*100</f>
        <v>1469999.9999999998</v>
      </c>
      <c r="F7">
        <f>'3. Site Based'!E8</f>
        <v>3598</v>
      </c>
      <c r="G7" s="317">
        <f>F7*E7/1000000</f>
        <v>5289.0599999999995</v>
      </c>
      <c r="H7" s="317"/>
      <c r="I7" s="317">
        <v>5803</v>
      </c>
      <c r="J7" s="749">
        <f t="shared" ref="J7:J13" si="0">G7-(I7*21000/23660)</f>
        <v>138.46828402366828</v>
      </c>
      <c r="K7" s="335" t="s">
        <v>415</v>
      </c>
      <c r="L7" s="337">
        <f>G7/C7</f>
        <v>13.398192839789333</v>
      </c>
      <c r="M7" s="335"/>
      <c r="N7" s="335"/>
      <c r="O7" s="335"/>
      <c r="P7" s="335"/>
      <c r="T7" s="823"/>
      <c r="U7" s="823"/>
      <c r="V7" s="823"/>
    </row>
    <row r="8" spans="2:22">
      <c r="B8" t="s">
        <v>398</v>
      </c>
      <c r="C8" s="317">
        <f>'6. Baseline Appraisal'!D10</f>
        <v>101.50951074244894</v>
      </c>
      <c r="D8" s="317">
        <f>Cover!F14*Cover!F15*0.6</f>
        <v>3780</v>
      </c>
      <c r="E8" s="323">
        <f>D8*80</f>
        <v>302400</v>
      </c>
      <c r="F8">
        <f>F7*0.5</f>
        <v>1799</v>
      </c>
      <c r="G8" s="317">
        <f>F8*E8/1000000</f>
        <v>544.01760000000002</v>
      </c>
      <c r="H8" s="317"/>
      <c r="I8" s="317">
        <v>796</v>
      </c>
      <c r="J8" s="748">
        <f t="shared" si="0"/>
        <v>-162.49127573964495</v>
      </c>
      <c r="K8" s="335" t="s">
        <v>415</v>
      </c>
      <c r="L8" s="337"/>
      <c r="M8" s="337">
        <f>G8/C8</f>
        <v>5.3592771359157423</v>
      </c>
      <c r="N8" s="335"/>
      <c r="O8" s="335"/>
      <c r="P8" s="335"/>
      <c r="T8" s="823"/>
      <c r="U8" s="823"/>
      <c r="V8" s="823"/>
    </row>
    <row r="9" spans="2:22">
      <c r="B9" t="s">
        <v>692</v>
      </c>
      <c r="C9" s="317">
        <f>'6. Baseline Appraisal'!D11</f>
        <v>67.673007161632697</v>
      </c>
      <c r="D9" s="317">
        <f>Cover!F14*Cover!F15*0.4</f>
        <v>2520</v>
      </c>
      <c r="E9" s="323">
        <f>D9*80</f>
        <v>201600</v>
      </c>
      <c r="F9" s="317">
        <f>F7*0.8</f>
        <v>2878.4</v>
      </c>
      <c r="G9" s="317">
        <f>F9*E9/1000000</f>
        <v>580.28543999999999</v>
      </c>
      <c r="H9" s="317"/>
      <c r="I9" s="317">
        <v>298</v>
      </c>
      <c r="J9" s="748">
        <f t="shared" si="0"/>
        <v>315.78839857988163</v>
      </c>
      <c r="K9" s="335" t="s">
        <v>415</v>
      </c>
      <c r="L9" s="337"/>
      <c r="M9" s="337"/>
      <c r="N9" s="337">
        <f>G9/C9</f>
        <v>8.5748434174651784</v>
      </c>
      <c r="O9" s="337"/>
      <c r="P9" s="335"/>
      <c r="T9" s="824"/>
      <c r="U9" s="824"/>
      <c r="V9" s="823"/>
    </row>
    <row r="10" spans="2:22">
      <c r="B10" t="s">
        <v>383</v>
      </c>
      <c r="C10" s="319">
        <f>SUM(C7:C9)</f>
        <v>563.94172634693916</v>
      </c>
      <c r="D10" s="315">
        <f>SUM(D7:D9)</f>
        <v>21000</v>
      </c>
      <c r="E10" s="325">
        <f>SUM(E7:E9)</f>
        <v>1973999.9999999998</v>
      </c>
      <c r="G10" s="319">
        <f>SUM(G7:G9)</f>
        <v>6413.3630399999993</v>
      </c>
      <c r="H10" s="321"/>
      <c r="I10" s="319">
        <f>SUM(I7:I9)</f>
        <v>6897</v>
      </c>
      <c r="J10" s="706">
        <f t="shared" si="0"/>
        <v>291.7654068639049</v>
      </c>
      <c r="K10" s="335" t="s">
        <v>415</v>
      </c>
      <c r="L10" s="337"/>
      <c r="M10" s="337"/>
      <c r="N10" s="337"/>
      <c r="O10" s="337"/>
      <c r="P10" s="335"/>
      <c r="T10" s="824"/>
      <c r="U10" s="824"/>
      <c r="V10" s="823"/>
    </row>
    <row r="11" spans="2:22">
      <c r="B11" t="s">
        <v>396</v>
      </c>
      <c r="C11" s="321">
        <f>'1. Landuse'!D13</f>
        <v>25.74</v>
      </c>
      <c r="D11" s="320"/>
      <c r="E11" s="328">
        <f>'1. Landuse'!K18</f>
        <v>205920</v>
      </c>
      <c r="F11" s="317">
        <f>'8. Site Values'!D13</f>
        <v>0</v>
      </c>
      <c r="G11" s="317">
        <f>F11*E11/1000000</f>
        <v>0</v>
      </c>
      <c r="H11" s="317"/>
      <c r="I11" s="317">
        <v>0</v>
      </c>
      <c r="J11" s="751">
        <f t="shared" si="0"/>
        <v>0</v>
      </c>
      <c r="K11" s="335" t="s">
        <v>415</v>
      </c>
      <c r="L11" s="337"/>
      <c r="M11" s="337"/>
      <c r="N11" s="337"/>
      <c r="O11" s="337"/>
      <c r="P11" s="335"/>
      <c r="T11" s="824"/>
      <c r="U11" s="825"/>
      <c r="V11" s="823"/>
    </row>
    <row r="12" spans="2:22">
      <c r="B12" t="s">
        <v>394</v>
      </c>
      <c r="C12" s="321">
        <f>'1. Landuse'!D14</f>
        <v>25.74</v>
      </c>
      <c r="E12" s="328">
        <f>'1. Landuse'!K19</f>
        <v>102960</v>
      </c>
      <c r="F12" s="317">
        <f>'8. Site Values'!D14</f>
        <v>1433.3333333333335</v>
      </c>
      <c r="G12" s="317">
        <f>F12*E12/1000000</f>
        <v>147.57600000000002</v>
      </c>
      <c r="H12" s="317"/>
      <c r="I12" s="317">
        <v>186</v>
      </c>
      <c r="J12" s="751">
        <f t="shared" si="0"/>
        <v>-17.512757396449672</v>
      </c>
      <c r="K12" s="335" t="s">
        <v>415</v>
      </c>
      <c r="L12" s="337"/>
      <c r="M12" s="337"/>
      <c r="N12" s="337"/>
      <c r="O12" s="337">
        <f>G12/C12</f>
        <v>5.7333333333333343</v>
      </c>
      <c r="P12" s="335"/>
    </row>
    <row r="13" spans="2:22">
      <c r="B13" t="s">
        <v>395</v>
      </c>
      <c r="C13" s="321">
        <f>'1. Landuse'!D15</f>
        <v>19.89</v>
      </c>
      <c r="E13" s="328">
        <f>'1. Landuse'!K20</f>
        <v>79560</v>
      </c>
      <c r="F13" s="317">
        <f>'8. Site Values'!D15</f>
        <v>2484.6153846153848</v>
      </c>
      <c r="G13" s="317">
        <f>F13*E13/1000000</f>
        <v>197.67599999999999</v>
      </c>
      <c r="H13" s="317"/>
      <c r="I13" s="317">
        <v>451</v>
      </c>
      <c r="J13" s="751">
        <f t="shared" si="0"/>
        <v>-202.61985798816568</v>
      </c>
      <c r="K13" s="335" t="s">
        <v>415</v>
      </c>
      <c r="L13" s="337"/>
      <c r="M13" s="337"/>
      <c r="N13" s="337"/>
      <c r="O13" s="337"/>
      <c r="P13" s="337">
        <f>G13/C13</f>
        <v>9.9384615384615369</v>
      </c>
      <c r="T13" s="327"/>
    </row>
    <row r="14" spans="2:22">
      <c r="B14" t="s">
        <v>404</v>
      </c>
      <c r="C14" s="321">
        <f>'1. Landuse'!D11</f>
        <v>422.37</v>
      </c>
      <c r="E14" s="328"/>
      <c r="F14" s="317"/>
      <c r="G14" s="317"/>
      <c r="H14" s="317"/>
      <c r="I14" s="317"/>
      <c r="J14" s="706"/>
      <c r="K14" s="335" t="s">
        <v>415</v>
      </c>
      <c r="L14" s="337"/>
      <c r="M14" s="337"/>
      <c r="N14" s="337"/>
      <c r="O14" s="337"/>
      <c r="P14" s="337"/>
      <c r="T14" s="327"/>
    </row>
    <row r="15" spans="2:22">
      <c r="B15" t="s">
        <v>405</v>
      </c>
      <c r="C15" s="321">
        <f>'1. Landuse'!D12</f>
        <v>112.32000000000001</v>
      </c>
      <c r="E15" s="328"/>
      <c r="F15" s="317"/>
      <c r="G15" s="317"/>
      <c r="H15" s="317"/>
      <c r="I15" s="317"/>
      <c r="J15" s="706"/>
      <c r="K15" s="335" t="s">
        <v>415</v>
      </c>
      <c r="L15" s="337"/>
      <c r="M15" s="337"/>
      <c r="N15" s="337"/>
      <c r="O15" s="337"/>
      <c r="P15" s="337"/>
      <c r="T15" s="327"/>
    </row>
    <row r="16" spans="2:22" ht="13.5" thickBot="1">
      <c r="B16" t="s">
        <v>388</v>
      </c>
      <c r="C16" s="322">
        <f>SUM(C10:C15)</f>
        <v>1170.0017263469392</v>
      </c>
      <c r="E16" s="329">
        <f>SUM(E10:E13)</f>
        <v>2362440</v>
      </c>
      <c r="G16" s="322">
        <f>SUM(G10:G13)</f>
        <v>6758.6150399999997</v>
      </c>
      <c r="H16" s="321"/>
      <c r="I16" s="322">
        <f>SUM(I10:I13)</f>
        <v>7534</v>
      </c>
      <c r="J16" s="706">
        <f t="shared" ref="J16" si="1">G16-(I16*21000/23660)</f>
        <v>71.632791479290063</v>
      </c>
      <c r="K16" s="335"/>
      <c r="L16" s="337"/>
      <c r="M16" s="337"/>
      <c r="N16" s="337"/>
      <c r="O16" s="337"/>
      <c r="P16" s="335"/>
      <c r="R16" s="96"/>
    </row>
    <row r="17" spans="2:22" ht="13.5" thickTop="1">
      <c r="J17" s="281"/>
      <c r="K17" s="335"/>
      <c r="L17" s="337"/>
      <c r="M17" s="337"/>
      <c r="N17" s="337"/>
      <c r="O17" s="337"/>
      <c r="P17" s="335"/>
      <c r="R17" s="96"/>
    </row>
    <row r="18" spans="2:22">
      <c r="E18" s="318"/>
      <c r="F18" s="318"/>
      <c r="G18" s="318"/>
      <c r="H18" s="318"/>
      <c r="I18" s="318"/>
      <c r="J18" s="705"/>
      <c r="K18" s="335"/>
      <c r="L18" s="337"/>
      <c r="M18" s="337"/>
      <c r="N18" s="337"/>
      <c r="O18" s="337"/>
      <c r="P18" s="335"/>
    </row>
    <row r="19" spans="2:22">
      <c r="B19" t="s">
        <v>385</v>
      </c>
      <c r="E19" s="323">
        <f>E10</f>
        <v>1973999.9999999998</v>
      </c>
      <c r="F19">
        <f>'3. Site Based'!E9</f>
        <v>1293</v>
      </c>
      <c r="G19" s="317">
        <f>-F19*E19/1000000</f>
        <v>-2552.3819999999996</v>
      </c>
      <c r="H19" s="317"/>
      <c r="I19" s="317">
        <v>-2595</v>
      </c>
      <c r="J19" s="749">
        <f t="shared" ref="J19:J27" si="2">G19-(I19*21000/23660)</f>
        <v>-249.12756213017701</v>
      </c>
      <c r="K19" s="335" t="s">
        <v>408</v>
      </c>
      <c r="L19" s="337">
        <f>E7*-F19/1000000/C7</f>
        <v>-4.8148591833928869</v>
      </c>
      <c r="M19" s="337">
        <f>E8*F19/-1000000/C8</f>
        <v>-3.851887346714316</v>
      </c>
      <c r="N19" s="337">
        <f>E9*F19/-1000000/C9</f>
        <v>-3.8518873467143115</v>
      </c>
      <c r="O19" s="337"/>
      <c r="P19" s="335"/>
      <c r="Q19" s="826"/>
      <c r="R19" s="96"/>
      <c r="V19" s="321"/>
    </row>
    <row r="20" spans="2:22">
      <c r="B20" t="s">
        <v>386</v>
      </c>
      <c r="E20" s="323">
        <f>SUM(E11:E13)</f>
        <v>388440</v>
      </c>
      <c r="F20" s="317">
        <f>G20*1000000/E20</f>
        <v>-368.56626506024094</v>
      </c>
      <c r="G20" s="317">
        <f>-(E12*'8. Site Values'!D25/1000000)-(E13*'8. Site Values'!D26/1000000)</f>
        <v>-143.16587999999999</v>
      </c>
      <c r="H20" s="317"/>
      <c r="I20" s="317">
        <v>-243</v>
      </c>
      <c r="J20" s="751">
        <f t="shared" si="2"/>
        <v>72.514593372781064</v>
      </c>
      <c r="K20" s="335" t="s">
        <v>409</v>
      </c>
      <c r="L20" s="337"/>
      <c r="M20" s="337"/>
      <c r="N20" s="337"/>
      <c r="O20" s="337">
        <f>-E12*'8. Site Values'!D25/1000000/Consol!C12</f>
        <v>-3.2159999999999997</v>
      </c>
      <c r="P20" s="335">
        <f>-E13*'8. Site Values'!D26/1000000/Consol!C13</f>
        <v>-3.036</v>
      </c>
      <c r="Q20" s="826"/>
      <c r="R20" s="96"/>
      <c r="V20" s="321"/>
    </row>
    <row r="21" spans="2:22">
      <c r="B21" t="s">
        <v>400</v>
      </c>
      <c r="G21" s="317">
        <f>G19*0.1+G20*0.1</f>
        <v>-269.55478799999997</v>
      </c>
      <c r="H21" s="317"/>
      <c r="I21" s="317">
        <v>-414</v>
      </c>
      <c r="J21" s="750">
        <f t="shared" si="2"/>
        <v>97.900833301775151</v>
      </c>
      <c r="K21" s="335" t="s">
        <v>410</v>
      </c>
      <c r="L21" s="337">
        <f>L19*0.1</f>
        <v>-0.48148591833928872</v>
      </c>
      <c r="M21" s="337">
        <f>M19*0.1</f>
        <v>-0.38518873467143161</v>
      </c>
      <c r="N21" s="337">
        <f>N19*0.1</f>
        <v>-0.38518873467143117</v>
      </c>
      <c r="O21" s="337">
        <f>O20*0.1</f>
        <v>-0.3216</v>
      </c>
      <c r="P21" s="337">
        <f>P20*0.1</f>
        <v>-0.30360000000000004</v>
      </c>
      <c r="Q21" s="826"/>
      <c r="R21" s="96"/>
      <c r="V21" s="321"/>
    </row>
    <row r="22" spans="2:22">
      <c r="B22" t="s">
        <v>401</v>
      </c>
      <c r="G22" s="317">
        <f>G19*0.17+G20*0.17</f>
        <v>-458.24313959999995</v>
      </c>
      <c r="H22" s="317"/>
      <c r="I22" s="317">
        <v>-397</v>
      </c>
      <c r="J22" s="750">
        <f t="shared" si="2"/>
        <v>-105.87627569467452</v>
      </c>
      <c r="K22" s="335" t="s">
        <v>411</v>
      </c>
      <c r="L22" s="337">
        <f>L19*(0.14+0.03)</f>
        <v>-0.81852606117679083</v>
      </c>
      <c r="M22" s="337">
        <f>M19*0.17</f>
        <v>-0.65482084894143378</v>
      </c>
      <c r="N22" s="337">
        <f>N19*0.17</f>
        <v>-0.654820848941433</v>
      </c>
      <c r="O22" s="337">
        <f>O20*0.17</f>
        <v>-0.54671999999999998</v>
      </c>
      <c r="P22" s="337">
        <f>P20*0.17</f>
        <v>-0.51612000000000002</v>
      </c>
      <c r="Q22" s="826"/>
      <c r="R22" s="96"/>
      <c r="T22" s="330"/>
      <c r="U22" s="331"/>
      <c r="V22" s="331"/>
    </row>
    <row r="23" spans="2:22">
      <c r="B23" t="s">
        <v>392</v>
      </c>
      <c r="G23" s="317">
        <f>-(G7*0.025+G8*0.005+G9*0.005+SUM(G11:G13)*0.035)</f>
        <v>-149.93183519999999</v>
      </c>
      <c r="H23" s="317"/>
      <c r="I23" s="317">
        <v>-173</v>
      </c>
      <c r="J23" s="706">
        <f t="shared" si="2"/>
        <v>3.6184606579881802</v>
      </c>
      <c r="K23" s="335" t="s">
        <v>412</v>
      </c>
      <c r="L23" s="337">
        <f>SUM(L7:L12)*-0.025</f>
        <v>-0.33495482099473334</v>
      </c>
      <c r="M23" s="337">
        <f>SUM(M7:M12)*-0.005</f>
        <v>-2.6796385679578712E-2</v>
      </c>
      <c r="N23" s="337">
        <f>SUM(N7:N12)*-0.005</f>
        <v>-4.2874217087325896E-2</v>
      </c>
      <c r="O23" s="337">
        <f>SUM(O7:O13)*-0.035</f>
        <v>-0.20066666666666672</v>
      </c>
      <c r="P23" s="337">
        <f>SUM(P7:P13)*-0.035</f>
        <v>-0.3478461538461538</v>
      </c>
      <c r="Q23" s="826"/>
    </row>
    <row r="24" spans="2:22">
      <c r="B24" t="s">
        <v>393</v>
      </c>
      <c r="G24" s="317">
        <f>-(G7*0.15+(G8+G9)*0.06+(G12+G13)*0.175)</f>
        <v>-921.23628239999982</v>
      </c>
      <c r="H24" s="317"/>
      <c r="I24" s="317">
        <v>-1338</v>
      </c>
      <c r="J24" s="752">
        <f t="shared" si="2"/>
        <v>266.33768209704169</v>
      </c>
      <c r="K24" s="335" t="s">
        <v>413</v>
      </c>
      <c r="L24" s="337">
        <f>SUM(L7:L12)*-0.15</f>
        <v>-2.0097289259683997</v>
      </c>
      <c r="M24" s="337">
        <f>SUM(M7:M12)*-0.06</f>
        <v>-0.32155662815494451</v>
      </c>
      <c r="N24" s="337">
        <f>SUM(N7:N12)*-0.06</f>
        <v>-0.51449060504791067</v>
      </c>
      <c r="O24" s="337">
        <f>SUM(O7:O12)*-0.175</f>
        <v>-1.0033333333333334</v>
      </c>
      <c r="P24" s="337">
        <f>SUM(P7:P13)*-0.175</f>
        <v>-1.7392307692307689</v>
      </c>
      <c r="Q24" s="826"/>
    </row>
    <row r="25" spans="2:22">
      <c r="B25" t="s">
        <v>674</v>
      </c>
      <c r="G25" s="317">
        <f>SUMPRODUCT(L25:P25,L31:P31)+1</f>
        <v>-7.6017698092645123</v>
      </c>
      <c r="H25" s="317"/>
      <c r="I25" s="317">
        <v>2</v>
      </c>
      <c r="J25" s="706">
        <f t="shared" si="2"/>
        <v>-9.3769177382585944</v>
      </c>
      <c r="K25" s="335" t="s">
        <v>674</v>
      </c>
      <c r="L25" s="337"/>
      <c r="M25" s="337">
        <f>0.207-0.119</f>
        <v>8.7999999999999995E-2</v>
      </c>
      <c r="N25" s="337">
        <f>-3.126+2.881</f>
        <v>-0.24500000000000011</v>
      </c>
      <c r="O25" s="337">
        <v>-1.7000000000000001E-2</v>
      </c>
      <c r="P25" s="337">
        <v>-2.5999999999999999E-2</v>
      </c>
    </row>
    <row r="26" spans="2:22">
      <c r="B26" t="s">
        <v>399</v>
      </c>
      <c r="G26" s="317">
        <f>-(G16+SUM(G19:G25))*0.068</f>
        <v>-153.44195545937001</v>
      </c>
      <c r="H26" s="317"/>
      <c r="I26" s="317">
        <v>-162</v>
      </c>
      <c r="J26" s="706">
        <f t="shared" si="2"/>
        <v>-9.654973210849306</v>
      </c>
      <c r="K26" s="335"/>
      <c r="L26" s="337"/>
      <c r="M26" s="337"/>
      <c r="N26" s="337"/>
      <c r="O26" s="337"/>
      <c r="P26" s="337"/>
    </row>
    <row r="27" spans="2:22" ht="13.5" thickBot="1">
      <c r="B27" t="s">
        <v>389</v>
      </c>
      <c r="G27" s="322">
        <f>SUM(G19:G26)</f>
        <v>-4655.5576504686342</v>
      </c>
      <c r="H27" s="321"/>
      <c r="I27" s="322">
        <f>SUM(I19:I26)</f>
        <v>-5320</v>
      </c>
      <c r="J27" s="706">
        <f t="shared" si="2"/>
        <v>66.335840655626271</v>
      </c>
      <c r="K27" s="335"/>
      <c r="L27" s="338">
        <f>SUM(L19:L25)</f>
        <v>-8.4595549098721001</v>
      </c>
      <c r="M27" s="338">
        <f>SUM(M19:M25)</f>
        <v>-5.1522499441617047</v>
      </c>
      <c r="N27" s="338">
        <f>SUM(N19:N25)</f>
        <v>-5.6942617524624124</v>
      </c>
      <c r="O27" s="338">
        <f>SUM(O19:O25)</f>
        <v>-5.3053200000000009</v>
      </c>
      <c r="P27" s="338">
        <f>SUM(P19:P25)</f>
        <v>-5.9687969230769227</v>
      </c>
      <c r="R27" s="827"/>
    </row>
    <row r="28" spans="2:22" ht="13.5" thickTop="1">
      <c r="J28" s="281"/>
      <c r="K28" s="335"/>
      <c r="L28" s="335"/>
      <c r="M28" s="335"/>
      <c r="N28" s="335"/>
      <c r="O28" s="335"/>
      <c r="P28" s="335"/>
      <c r="R28" s="828"/>
    </row>
    <row r="29" spans="2:22">
      <c r="B29" t="s">
        <v>673</v>
      </c>
      <c r="G29" s="317">
        <f>G16+G27</f>
        <v>2103.0573895313655</v>
      </c>
      <c r="H29" s="317">
        <v>2103</v>
      </c>
      <c r="I29" s="317">
        <f>I16+I27</f>
        <v>2214</v>
      </c>
      <c r="J29" s="706">
        <f>G29-(I29*21000/23660)</f>
        <v>137.96863213491588</v>
      </c>
      <c r="K29" s="335" t="s">
        <v>414</v>
      </c>
      <c r="L29" s="337">
        <f>L7+L27</f>
        <v>4.9386379299172329</v>
      </c>
      <c r="M29" s="337">
        <f>M8+M27</f>
        <v>0.20702719175403761</v>
      </c>
      <c r="N29" s="337">
        <f>N9+N27</f>
        <v>2.880581665002766</v>
      </c>
      <c r="O29" s="337">
        <f>O12+O27</f>
        <v>0.42801333333333336</v>
      </c>
      <c r="P29" s="337">
        <f>P13+P27</f>
        <v>3.9696646153846142</v>
      </c>
      <c r="R29" s="828"/>
    </row>
    <row r="30" spans="2:22">
      <c r="G30" s="317"/>
      <c r="H30" s="317"/>
      <c r="I30" s="317"/>
      <c r="J30" s="706"/>
      <c r="K30" s="335"/>
      <c r="L30" s="336" t="s">
        <v>668</v>
      </c>
      <c r="M30" s="336" t="s">
        <v>669</v>
      </c>
      <c r="N30" s="336" t="s">
        <v>670</v>
      </c>
      <c r="O30" s="336" t="s">
        <v>671</v>
      </c>
      <c r="P30" s="336" t="s">
        <v>672</v>
      </c>
      <c r="Q30" s="716"/>
      <c r="R30" s="827"/>
    </row>
    <row r="31" spans="2:22">
      <c r="H31" s="317"/>
      <c r="I31" s="317"/>
      <c r="J31" s="706"/>
      <c r="K31" s="335" t="s">
        <v>67</v>
      </c>
      <c r="L31" s="339">
        <f>C7</f>
        <v>394.75920844285758</v>
      </c>
      <c r="M31" s="339">
        <f>C8</f>
        <v>101.50951074244894</v>
      </c>
      <c r="N31" s="339">
        <f>C9</f>
        <v>67.673007161632697</v>
      </c>
      <c r="O31" s="339">
        <f>C12</f>
        <v>25.74</v>
      </c>
      <c r="P31" s="339">
        <f>C13</f>
        <v>19.89</v>
      </c>
      <c r="R31" s="827"/>
    </row>
    <row r="32" spans="2:22">
      <c r="B32" t="s">
        <v>403</v>
      </c>
      <c r="G32" s="317">
        <f>-'2.  Scheme Wide'!E90-G33</f>
        <v>-1196.3106428571427</v>
      </c>
      <c r="H32" s="317">
        <v>-1196</v>
      </c>
      <c r="I32" s="317">
        <f>-1182-106-170-57-I33</f>
        <v>-1458</v>
      </c>
      <c r="J32" s="706">
        <f>G32-(I32*21000/23660)</f>
        <v>97.772197379543741</v>
      </c>
      <c r="K32" s="335" t="s">
        <v>402</v>
      </c>
      <c r="L32" s="339">
        <f>L29*C7</f>
        <v>1949.5727999999997</v>
      </c>
      <c r="M32" s="339">
        <f>M29*C8</f>
        <v>21.015228945335519</v>
      </c>
      <c r="N32" s="339">
        <f>N29*C9</f>
        <v>194.93762364540001</v>
      </c>
      <c r="O32" s="339">
        <f>O29*C12</f>
        <v>11.017063199999999</v>
      </c>
      <c r="P32" s="339">
        <f>P29*C13</f>
        <v>78.956629199999981</v>
      </c>
      <c r="R32" s="828"/>
    </row>
    <row r="33" spans="2:18">
      <c r="B33" t="s">
        <v>54</v>
      </c>
      <c r="G33" s="317">
        <f>-SUM('2.  Scheme Wide'!E85:E87)</f>
        <v>-144.32</v>
      </c>
      <c r="H33" s="317">
        <v>-144</v>
      </c>
      <c r="I33" s="317">
        <v>-57</v>
      </c>
      <c r="J33" s="706">
        <f>G33-(I33*21000/23660)</f>
        <v>-93.728284023668635</v>
      </c>
      <c r="K33" s="335"/>
      <c r="L33" s="339"/>
      <c r="M33" s="339"/>
      <c r="N33" s="339"/>
      <c r="O33" s="339"/>
      <c r="P33" s="339"/>
      <c r="R33" s="828"/>
    </row>
    <row r="34" spans="2:18">
      <c r="B34" t="s">
        <v>407</v>
      </c>
      <c r="G34" s="317">
        <f>'6. Baseline Appraisal'!D116+'6. Baseline Appraisal'!D117</f>
        <v>-592.53232212660282</v>
      </c>
      <c r="H34" s="317">
        <f>-589-3-1.34</f>
        <v>-593.34</v>
      </c>
      <c r="I34" s="317">
        <v>-129</v>
      </c>
      <c r="J34" s="706">
        <f>G34-(I34*21000/23660)</f>
        <v>-478.03528070648446</v>
      </c>
    </row>
    <row r="35" spans="2:18" ht="13.5" thickBot="1">
      <c r="B35" t="s">
        <v>696</v>
      </c>
      <c r="G35" s="322">
        <f>SUM(G29:G34)</f>
        <v>169.89442454762002</v>
      </c>
      <c r="H35" s="322">
        <f>SUM(H29:H34)</f>
        <v>169.65999999999997</v>
      </c>
      <c r="I35" s="322">
        <f>SUM(I29:I34)</f>
        <v>570</v>
      </c>
      <c r="J35" s="321"/>
      <c r="K35" s="320"/>
    </row>
    <row r="36" spans="2:18" ht="13.5" thickTop="1"/>
    <row r="37" spans="2:18">
      <c r="B37" t="s">
        <v>667</v>
      </c>
      <c r="G37" s="341"/>
      <c r="H37" s="341">
        <f>H35/C16/2.47*1000000</f>
        <v>58707.827144644471</v>
      </c>
      <c r="I37" s="317">
        <v>177608</v>
      </c>
      <c r="J37" s="317"/>
    </row>
    <row r="38" spans="2:18">
      <c r="B38" t="s">
        <v>417</v>
      </c>
      <c r="G38" s="341">
        <f>'6. Baseline Appraisal'!C134</f>
        <v>9335.1390334189764</v>
      </c>
    </row>
    <row r="41" spans="2:18">
      <c r="I41" s="317"/>
    </row>
    <row r="43" spans="2:18">
      <c r="I43" s="317"/>
    </row>
  </sheetData>
  <pageMargins left="0.7" right="0.7" top="0.75" bottom="0.75" header="0.3" footer="0.3"/>
  <pageSetup paperSize="9" scale="71"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B2:P40"/>
  <sheetViews>
    <sheetView showGridLines="0" zoomScaleNormal="100" zoomScalePageLayoutView="75" workbookViewId="0">
      <selection activeCell="F15" sqref="F15"/>
    </sheetView>
  </sheetViews>
  <sheetFormatPr defaultColWidth="8.85546875" defaultRowHeight="15" customHeight="1"/>
  <cols>
    <col min="1" max="1" width="3.28515625" style="194" customWidth="1"/>
    <col min="2" max="2" width="6.42578125" style="194" customWidth="1"/>
    <col min="3" max="3" width="29.85546875" style="194" customWidth="1"/>
    <col min="4" max="4" width="16.28515625" style="194" customWidth="1"/>
    <col min="5" max="5" width="14" style="194" customWidth="1"/>
    <col min="6" max="6" width="13" style="194" customWidth="1"/>
    <col min="7" max="7" width="15.85546875" style="194" customWidth="1"/>
    <col min="8" max="8" width="22.7109375" style="194" customWidth="1"/>
    <col min="9" max="9" width="8.85546875" style="686"/>
    <col min="10" max="10" width="11.7109375" style="194" customWidth="1"/>
    <col min="11" max="13" width="11.140625" style="194" customWidth="1"/>
    <col min="14" max="14" width="11.85546875" style="197" hidden="1" customWidth="1"/>
    <col min="15" max="16384" width="8.85546875" style="194"/>
  </cols>
  <sheetData>
    <row r="2" spans="2:14" ht="15" customHeight="1">
      <c r="B2" s="183" t="s">
        <v>151</v>
      </c>
      <c r="C2" s="184"/>
      <c r="D2" s="184"/>
      <c r="E2" s="184"/>
      <c r="F2" s="184"/>
      <c r="G2" s="184"/>
      <c r="H2" s="184"/>
      <c r="I2" s="185"/>
      <c r="J2" s="184"/>
      <c r="K2" s="683"/>
      <c r="L2" s="285" t="s">
        <v>359</v>
      </c>
      <c r="M2" s="286">
        <v>42736</v>
      </c>
      <c r="N2" s="197" t="s">
        <v>160</v>
      </c>
    </row>
    <row r="3" spans="2:14" s="55" customFormat="1" ht="15" customHeight="1">
      <c r="B3" s="255" t="s">
        <v>152</v>
      </c>
      <c r="C3" s="256"/>
      <c r="D3" s="256"/>
      <c r="E3" s="256"/>
      <c r="F3" s="256"/>
      <c r="G3" s="256"/>
      <c r="H3" s="256"/>
      <c r="I3" s="257"/>
      <c r="J3" s="256"/>
      <c r="K3" s="256"/>
      <c r="L3" s="256"/>
      <c r="M3" s="256"/>
      <c r="N3" s="198" t="s">
        <v>158</v>
      </c>
    </row>
    <row r="4" spans="2:14" s="2" customFormat="1" ht="15" customHeight="1">
      <c r="I4" s="6"/>
      <c r="N4" s="198" t="s">
        <v>159</v>
      </c>
    </row>
    <row r="5" spans="2:14" s="2" customFormat="1" ht="15" customHeight="1">
      <c r="B5" s="173" t="s">
        <v>139</v>
      </c>
      <c r="H5" s="173" t="s">
        <v>146</v>
      </c>
      <c r="N5" s="198"/>
    </row>
    <row r="6" spans="2:14" ht="15" customHeight="1">
      <c r="B6" s="14" t="s">
        <v>125</v>
      </c>
      <c r="C6" s="684"/>
      <c r="D6" s="879"/>
      <c r="E6" s="880"/>
      <c r="F6" s="881"/>
      <c r="H6" s="13" t="s">
        <v>147</v>
      </c>
      <c r="I6" s="684"/>
      <c r="J6" s="684"/>
      <c r="K6" s="885"/>
      <c r="L6" s="886"/>
      <c r="M6" s="887"/>
    </row>
    <row r="7" spans="2:14" ht="15" customHeight="1">
      <c r="B7" s="14" t="s">
        <v>126</v>
      </c>
      <c r="C7" s="684"/>
      <c r="D7" s="879"/>
      <c r="E7" s="880"/>
      <c r="F7" s="881"/>
      <c r="H7" s="13" t="s">
        <v>148</v>
      </c>
      <c r="I7" s="684"/>
      <c r="J7" s="684"/>
      <c r="K7" s="885"/>
      <c r="L7" s="886"/>
      <c r="M7" s="887"/>
    </row>
    <row r="8" spans="2:14" ht="15" customHeight="1">
      <c r="B8" s="14" t="s">
        <v>134</v>
      </c>
      <c r="C8" s="684"/>
      <c r="D8" s="879"/>
      <c r="E8" s="880"/>
      <c r="F8" s="881"/>
      <c r="H8" s="34" t="s">
        <v>127</v>
      </c>
      <c r="I8" s="685"/>
      <c r="J8" s="685"/>
      <c r="K8" s="882"/>
      <c r="L8" s="883"/>
      <c r="M8" s="884"/>
    </row>
    <row r="10" spans="2:14" ht="15" customHeight="1">
      <c r="B10" s="173" t="s">
        <v>135</v>
      </c>
      <c r="H10" s="173" t="s">
        <v>138</v>
      </c>
    </row>
    <row r="11" spans="2:14" ht="15" customHeight="1">
      <c r="B11" s="8" t="s">
        <v>136</v>
      </c>
      <c r="C11" s="687"/>
      <c r="D11" s="687"/>
      <c r="E11" s="687"/>
      <c r="F11" s="195" t="s">
        <v>324</v>
      </c>
      <c r="K11" s="292" t="s">
        <v>317</v>
      </c>
      <c r="L11" s="292" t="s">
        <v>319</v>
      </c>
      <c r="M11" s="292" t="s">
        <v>345</v>
      </c>
    </row>
    <row r="12" spans="2:14" s="41" customFormat="1" ht="15" customHeight="1">
      <c r="B12" s="27" t="s">
        <v>68</v>
      </c>
      <c r="C12" s="146"/>
      <c r="D12" s="146"/>
      <c r="E12" s="149"/>
      <c r="F12" s="17">
        <f>'1. Landuse'!C6</f>
        <v>1170</v>
      </c>
      <c r="H12" s="25" t="s">
        <v>328</v>
      </c>
      <c r="I12" s="148"/>
      <c r="J12" s="148"/>
      <c r="K12" s="294" t="s">
        <v>318</v>
      </c>
      <c r="L12" s="293" t="s">
        <v>318</v>
      </c>
      <c r="M12" s="293" t="s">
        <v>346</v>
      </c>
      <c r="N12" s="47"/>
    </row>
    <row r="13" spans="2:14" s="41" customFormat="1" ht="15" customHeight="1">
      <c r="B13" s="27" t="s">
        <v>140</v>
      </c>
      <c r="C13" s="27"/>
      <c r="D13" s="146"/>
      <c r="E13" s="149"/>
      <c r="F13" s="156">
        <f>'1. Landuse'!C20</f>
        <v>37.238004042983299</v>
      </c>
      <c r="H13" s="13" t="s">
        <v>313</v>
      </c>
      <c r="I13" s="121"/>
      <c r="J13" s="121"/>
      <c r="K13" s="102">
        <f>IFERROR(('6. Baseline Appraisal'!D89),0)</f>
        <v>1340.5999999999995</v>
      </c>
      <c r="L13" s="102">
        <f>IFERROR(('6. Baseline Appraisal'!D95-'6. Baseline Appraisal'!D116),0)</f>
        <v>-751.41928385830886</v>
      </c>
      <c r="M13" s="102">
        <f>IFERROR(#REF!,0)</f>
        <v>0</v>
      </c>
      <c r="N13" s="47"/>
    </row>
    <row r="14" spans="2:14" s="41" customFormat="1" ht="15" customHeight="1">
      <c r="B14" s="27" t="s">
        <v>45</v>
      </c>
      <c r="C14" s="27"/>
      <c r="D14" s="146"/>
      <c r="E14" s="149"/>
      <c r="F14" s="187">
        <f>'1. Landuse'!C21</f>
        <v>21000</v>
      </c>
      <c r="H14" s="50" t="s">
        <v>320</v>
      </c>
      <c r="I14" s="121"/>
      <c r="J14" s="295"/>
      <c r="K14" s="18" t="s">
        <v>321</v>
      </c>
      <c r="L14" s="270">
        <f>-IFERROR(('6. Baseline Appraisal'!D116),0)</f>
        <v>589.1807161416906</v>
      </c>
      <c r="M14" s="270">
        <f>-IFERROR(#REF!,0)</f>
        <v>0</v>
      </c>
      <c r="N14" s="47"/>
    </row>
    <row r="15" spans="2:14" s="41" customFormat="1" ht="15" customHeight="1">
      <c r="B15" s="13" t="s">
        <v>141</v>
      </c>
      <c r="C15" s="13"/>
      <c r="D15" s="121"/>
      <c r="E15" s="26"/>
      <c r="F15" s="155">
        <f>'1. Landuse'!I11</f>
        <v>0.3</v>
      </c>
      <c r="H15" s="34" t="s">
        <v>137</v>
      </c>
      <c r="I15" s="147"/>
      <c r="J15" s="142"/>
      <c r="K15" s="102">
        <f>IFERROR(('6. Baseline Appraisal'!D37),0)</f>
        <v>2102.6213728675302</v>
      </c>
      <c r="L15" s="102">
        <f>'6. Baseline Appraisal'!D94</f>
        <v>2102.6213728675302</v>
      </c>
      <c r="M15" s="102" t="e">
        <f>#REF!</f>
        <v>#REF!</v>
      </c>
      <c r="N15" s="47"/>
    </row>
    <row r="16" spans="2:14" s="41" customFormat="1" ht="15" customHeight="1">
      <c r="B16" s="34" t="s">
        <v>258</v>
      </c>
      <c r="C16" s="147"/>
      <c r="D16" s="147"/>
      <c r="E16" s="120"/>
      <c r="F16" s="157">
        <f>'1. Landuse'!K21</f>
        <v>388440</v>
      </c>
      <c r="H16" s="27" t="s">
        <v>314</v>
      </c>
      <c r="I16" s="146"/>
      <c r="J16" s="146"/>
      <c r="K16" s="89">
        <f>'6. Baseline Appraisal'!D96</f>
        <v>762.01519379433807</v>
      </c>
      <c r="L16" s="89">
        <f>IFERROR(('6. Baseline Appraisal'!D124),0)</f>
        <v>592.53232212660282</v>
      </c>
      <c r="M16" s="89">
        <f>IFERROR(#REF!,0)</f>
        <v>0</v>
      </c>
      <c r="N16" s="47"/>
    </row>
    <row r="17" spans="2:16" s="41" customFormat="1" ht="15" customHeight="1">
      <c r="B17" s="34" t="s">
        <v>142</v>
      </c>
      <c r="C17" s="34"/>
      <c r="D17" s="147"/>
      <c r="E17" s="120"/>
      <c r="F17" s="128">
        <f>'1. Landuse'!C28</f>
        <v>50400</v>
      </c>
      <c r="H17" s="13" t="s">
        <v>309</v>
      </c>
      <c r="I17" s="121"/>
      <c r="J17" s="121"/>
      <c r="K17" s="23">
        <f>IFERROR(((K16/'1. Landuse'!C6)*1000000),0)</f>
        <v>651295.03743105824</v>
      </c>
      <c r="L17" s="23">
        <f>IFERROR(((L16/'1. Landuse'!C6)*1000000),0)</f>
        <v>506437.88215948961</v>
      </c>
      <c r="M17" s="23">
        <f>IFERROR((((M16+#REF!)/'1. Landuse'!C6)*1000000),0)</f>
        <v>0</v>
      </c>
    </row>
    <row r="18" spans="2:16" s="41" customFormat="1" ht="15" customHeight="1">
      <c r="B18" s="34" t="s">
        <v>295</v>
      </c>
      <c r="C18" s="34"/>
      <c r="D18" s="147"/>
      <c r="E18" s="120"/>
      <c r="F18" s="128">
        <f>'1. Landuse'!K28</f>
        <v>14127.36</v>
      </c>
      <c r="H18" s="13" t="s">
        <v>306</v>
      </c>
      <c r="I18" s="121"/>
      <c r="J18" s="291">
        <f>'2.  Scheme Wide'!E36</f>
        <v>2.5000000000000001E-2</v>
      </c>
      <c r="K18" s="89">
        <f>IFERROR(('6. Baseline Appraisal'!K100),0)</f>
        <v>77.631170919892725</v>
      </c>
      <c r="L18" s="89" t="s">
        <v>321</v>
      </c>
      <c r="M18" s="89" t="e">
        <f>#REF!</f>
        <v>#REF!</v>
      </c>
      <c r="N18" s="47"/>
      <c r="P18" s="310"/>
    </row>
    <row r="19" spans="2:16" s="41" customFormat="1" ht="15" customHeight="1">
      <c r="H19" s="145" t="s">
        <v>307</v>
      </c>
      <c r="I19" s="121"/>
      <c r="J19" s="121"/>
      <c r="K19" s="56">
        <f>IFERROR(('6. Baseline Appraisal'!K99),0)</f>
        <v>8.6969930231887149E-2</v>
      </c>
      <c r="L19" s="56">
        <f>IFERROR(('6. Baseline Appraisal'!K127),0)</f>
        <v>0</v>
      </c>
      <c r="M19" s="56" t="e">
        <f>#REF!</f>
        <v>#REF!</v>
      </c>
      <c r="N19" s="47"/>
    </row>
    <row r="20" spans="2:16" s="41" customFormat="1" ht="15" customHeight="1">
      <c r="B20" s="8" t="s">
        <v>325</v>
      </c>
      <c r="C20" s="687"/>
      <c r="D20" s="687"/>
      <c r="E20" s="196" t="s">
        <v>323</v>
      </c>
      <c r="F20" s="296" t="s">
        <v>4</v>
      </c>
      <c r="H20" s="145" t="s">
        <v>266</v>
      </c>
      <c r="I20" s="121"/>
      <c r="J20" s="121"/>
      <c r="K20" s="56">
        <f ca="1">IFERROR(('6. Baseline Appraisal'!R99),0)</f>
        <v>0</v>
      </c>
      <c r="L20" s="56">
        <f>IFERROR(('6. Baseline Appraisal'!R127),0)</f>
        <v>0</v>
      </c>
      <c r="M20" s="56" t="e">
        <f>#REF!</f>
        <v>#REF!</v>
      </c>
      <c r="N20" s="47"/>
    </row>
    <row r="21" spans="2:16" s="41" customFormat="1" ht="15" customHeight="1">
      <c r="B21" s="13" t="s">
        <v>326</v>
      </c>
      <c r="C21" s="121"/>
      <c r="D21" s="121"/>
      <c r="E21" s="23">
        <f>IFERROR(('2.  Scheme Wide'!E6),0)</f>
        <v>14861.904761904763</v>
      </c>
      <c r="F21" s="89">
        <f>IFERROR(('2.  Scheme Wide'!F6),0)</f>
        <v>312.10000000000002</v>
      </c>
      <c r="H21" s="27" t="s">
        <v>315</v>
      </c>
      <c r="I21" s="146"/>
      <c r="J21" s="146"/>
      <c r="K21" s="89">
        <f>MIN('6. Baseline Appraisal'!F97:BC97)</f>
        <v>-78.406079149006359</v>
      </c>
      <c r="L21" s="89">
        <f>MIN('6. Baseline Appraisal'!F125:BC125)</f>
        <v>0</v>
      </c>
      <c r="M21" s="89" t="e">
        <f>MIN(#REF!)</f>
        <v>#REF!</v>
      </c>
      <c r="N21" s="47"/>
    </row>
    <row r="22" spans="2:16" s="41" customFormat="1" ht="15" customHeight="1">
      <c r="B22" s="13" t="s">
        <v>327</v>
      </c>
      <c r="C22" s="121"/>
      <c r="D22" s="121"/>
      <c r="E22" s="23">
        <f>IFERROR(((F22/'1. Landuse'!C21)*1000000),0)</f>
        <v>0</v>
      </c>
      <c r="F22" s="89">
        <f>IFERROR((#REF!),0)</f>
        <v>0</v>
      </c>
      <c r="H22" s="13" t="s">
        <v>316</v>
      </c>
      <c r="I22" s="121"/>
      <c r="J22" s="121"/>
      <c r="K22" s="290">
        <f>'6. Baseline Appraisal'!BD180</f>
        <v>0</v>
      </c>
      <c r="L22" s="290">
        <f>'6. Baseline Appraisal'!BD182</f>
        <v>0</v>
      </c>
      <c r="M22" s="290" t="e">
        <f>#REF!</f>
        <v>#REF!</v>
      </c>
    </row>
    <row r="23" spans="2:16" s="41" customFormat="1" ht="15" customHeight="1"/>
    <row r="24" spans="2:16" s="41" customFormat="1" ht="15" customHeight="1">
      <c r="B24" s="173" t="s">
        <v>149</v>
      </c>
      <c r="I24" s="45"/>
      <c r="N24" s="47"/>
    </row>
    <row r="25" spans="2:16" s="41" customFormat="1" ht="15" customHeight="1">
      <c r="B25" s="153" t="s">
        <v>133</v>
      </c>
      <c r="C25" s="144"/>
      <c r="D25" s="148"/>
      <c r="E25" s="148"/>
      <c r="F25" s="148"/>
      <c r="G25" s="148"/>
      <c r="H25" s="148"/>
      <c r="I25" s="300"/>
      <c r="J25" s="298"/>
      <c r="K25" s="188" t="s">
        <v>154</v>
      </c>
      <c r="L25" s="188" t="s">
        <v>127</v>
      </c>
      <c r="M25" s="188" t="s">
        <v>153</v>
      </c>
      <c r="N25" s="47"/>
    </row>
    <row r="26" spans="2:16" s="41" customFormat="1" ht="15" customHeight="1">
      <c r="B26" s="151">
        <v>1</v>
      </c>
      <c r="C26" s="152" t="s">
        <v>128</v>
      </c>
      <c r="D26" s="27" t="s">
        <v>143</v>
      </c>
      <c r="E26" s="146"/>
      <c r="F26" s="149"/>
      <c r="G26" s="146"/>
      <c r="H26" s="146"/>
      <c r="I26" s="35"/>
      <c r="J26" s="149"/>
      <c r="K26" s="299" t="s">
        <v>158</v>
      </c>
      <c r="L26" s="212"/>
      <c r="M26" s="189"/>
      <c r="N26" s="47"/>
    </row>
    <row r="27" spans="2:16" s="41" customFormat="1" ht="15" customHeight="1">
      <c r="B27" s="150">
        <v>2</v>
      </c>
      <c r="C27" s="140" t="s">
        <v>298</v>
      </c>
      <c r="D27" s="27" t="s">
        <v>247</v>
      </c>
      <c r="E27" s="146"/>
      <c r="F27" s="149"/>
      <c r="G27" s="146"/>
      <c r="H27" s="146"/>
      <c r="I27" s="35"/>
      <c r="J27" s="149"/>
      <c r="K27" s="299" t="s">
        <v>158</v>
      </c>
      <c r="L27" s="212"/>
      <c r="M27" s="189"/>
      <c r="N27" s="47"/>
    </row>
    <row r="28" spans="2:16" s="41" customFormat="1" ht="15" customHeight="1">
      <c r="B28" s="150">
        <v>3</v>
      </c>
      <c r="C28" s="140" t="s">
        <v>268</v>
      </c>
      <c r="D28" s="27" t="s">
        <v>214</v>
      </c>
      <c r="E28" s="146"/>
      <c r="F28" s="149"/>
      <c r="G28" s="146"/>
      <c r="H28" s="146"/>
      <c r="I28" s="35"/>
      <c r="J28" s="149"/>
      <c r="K28" s="299" t="s">
        <v>158</v>
      </c>
      <c r="L28" s="212"/>
      <c r="M28" s="189"/>
      <c r="N28" s="47"/>
    </row>
    <row r="29" spans="2:16" s="41" customFormat="1" ht="15" customHeight="1">
      <c r="B29" s="150">
        <v>4</v>
      </c>
      <c r="C29" s="14" t="s">
        <v>129</v>
      </c>
      <c r="D29" s="27" t="s">
        <v>144</v>
      </c>
      <c r="E29" s="146"/>
      <c r="F29" s="149"/>
      <c r="G29" s="146"/>
      <c r="H29" s="146"/>
      <c r="I29" s="35"/>
      <c r="J29" s="149"/>
      <c r="K29" s="299" t="s">
        <v>158</v>
      </c>
      <c r="L29" s="212"/>
      <c r="M29" s="189"/>
      <c r="N29" s="47"/>
    </row>
    <row r="30" spans="2:16" s="41" customFormat="1" ht="15" customHeight="1">
      <c r="B30" s="150">
        <v>5</v>
      </c>
      <c r="C30" s="13" t="s">
        <v>130</v>
      </c>
      <c r="D30" s="13" t="s">
        <v>155</v>
      </c>
      <c r="E30" s="121"/>
      <c r="F30" s="121"/>
      <c r="G30" s="121"/>
      <c r="H30" s="121"/>
      <c r="I30" s="19"/>
      <c r="J30" s="26"/>
      <c r="K30" s="299" t="s">
        <v>158</v>
      </c>
      <c r="L30" s="212"/>
      <c r="M30" s="189"/>
      <c r="N30" s="47"/>
    </row>
    <row r="31" spans="2:16" ht="15" customHeight="1">
      <c r="B31" s="150">
        <v>6</v>
      </c>
      <c r="C31" s="141" t="s">
        <v>132</v>
      </c>
      <c r="D31" s="34" t="s">
        <v>156</v>
      </c>
      <c r="E31" s="147"/>
      <c r="F31" s="120"/>
      <c r="G31" s="147"/>
      <c r="H31" s="147"/>
      <c r="I31" s="37"/>
      <c r="J31" s="688"/>
      <c r="K31" s="251"/>
      <c r="L31" s="251"/>
      <c r="M31" s="252"/>
    </row>
    <row r="32" spans="2:16" s="41" customFormat="1" ht="15" customHeight="1">
      <c r="B32" s="150">
        <v>7</v>
      </c>
      <c r="C32" s="14" t="s">
        <v>343</v>
      </c>
      <c r="D32" s="34" t="s">
        <v>344</v>
      </c>
      <c r="E32" s="147"/>
      <c r="F32" s="120"/>
      <c r="G32" s="147"/>
      <c r="H32" s="147"/>
      <c r="I32" s="37"/>
      <c r="J32" s="120"/>
      <c r="K32" s="299" t="s">
        <v>158</v>
      </c>
      <c r="L32" s="212"/>
      <c r="M32" s="189"/>
      <c r="N32" s="47"/>
    </row>
    <row r="33" spans="2:14" s="41" customFormat="1" ht="15" customHeight="1">
      <c r="B33" s="18">
        <v>8</v>
      </c>
      <c r="C33" s="141" t="s">
        <v>131</v>
      </c>
      <c r="D33" s="34" t="s">
        <v>145</v>
      </c>
      <c r="E33" s="147"/>
      <c r="F33" s="120"/>
      <c r="G33" s="147"/>
      <c r="H33" s="147"/>
      <c r="I33" s="37"/>
      <c r="J33" s="688"/>
      <c r="K33" s="251"/>
      <c r="L33" s="251"/>
      <c r="M33" s="252"/>
      <c r="N33" s="47"/>
    </row>
    <row r="34" spans="2:14" ht="15" customHeight="1">
      <c r="B34" s="18">
        <v>9</v>
      </c>
      <c r="C34" s="141" t="s">
        <v>360</v>
      </c>
      <c r="D34" s="34" t="s">
        <v>145</v>
      </c>
      <c r="E34" s="147"/>
      <c r="F34" s="120"/>
      <c r="G34" s="147"/>
      <c r="H34" s="147"/>
      <c r="I34" s="37"/>
      <c r="J34" s="688"/>
      <c r="K34" s="251"/>
      <c r="L34" s="251"/>
      <c r="M34" s="252"/>
    </row>
    <row r="36" spans="2:14" ht="15" customHeight="1">
      <c r="B36" s="281" t="s">
        <v>296</v>
      </c>
      <c r="C36" s="281" t="s">
        <v>297</v>
      </c>
    </row>
    <row r="37" spans="2:14" s="281" customFormat="1" ht="12" customHeight="1">
      <c r="C37" s="281" t="s">
        <v>304</v>
      </c>
      <c r="I37" s="282"/>
      <c r="N37" s="283"/>
    </row>
    <row r="38" spans="2:14" s="281" customFormat="1" ht="12" customHeight="1">
      <c r="B38" s="194"/>
      <c r="C38" s="284" t="s">
        <v>305</v>
      </c>
      <c r="I38" s="282"/>
      <c r="N38" s="283"/>
    </row>
    <row r="39" spans="2:14" ht="12" customHeight="1">
      <c r="C39" s="281"/>
    </row>
    <row r="40" spans="2:14" ht="12" customHeight="1"/>
  </sheetData>
  <sheetProtection selectLockedCells="1"/>
  <mergeCells count="6">
    <mergeCell ref="D6:F6"/>
    <mergeCell ref="D7:F7"/>
    <mergeCell ref="D8:F8"/>
    <mergeCell ref="K8:M8"/>
    <mergeCell ref="K6:M6"/>
    <mergeCell ref="K7:M7"/>
  </mergeCells>
  <dataValidations count="1">
    <dataValidation type="list" allowBlank="1" showInputMessage="1" showErrorMessage="1" promptTitle="Select from dropdown" sqref="K26:K30 K32">
      <formula1>$N$2:$N$4</formula1>
    </dataValidation>
  </dataValidations>
  <pageMargins left="0.23622047244094491" right="0.23622047244094491" top="0.74803149606299213" bottom="0.74803149606299213" header="0.31496062992125984" footer="0.31496062992125984"/>
  <pageSetup paperSize="9" scale="84" orientation="landscape"/>
  <headerFooter>
    <oddFooter>&amp;R&amp;"Arial Narrow,Italic"&amp;8Created on: &amp;D</oddFooter>
    <evenFooter>&amp;R&amp;"Arial Narrow,Italic"&amp;8Created on: &amp;D</evenFooter>
    <firstFooter>&amp;R&amp;"Arial Narrow,Italic"&amp;8Created on: &amp;D</firstFooter>
  </headerFooter>
  <extLst>
    <ext xmlns:x14="http://schemas.microsoft.com/office/spreadsheetml/2009/9/main" uri="{78C0D931-6437-407d-A8EE-F0AAD7539E65}">
      <x14:conditionalFormattings>
        <x14:conditionalFormatting xmlns:xm="http://schemas.microsoft.com/office/excel/2006/main">
          <x14:cfRule type="containsText" priority="3" operator="containsText" id="{600602E5-F6ED-4626-A4FF-A1A67B73449F}">
            <xm:f>NOT(ISERROR(SEARCH("Incomplete",K26)))</xm:f>
            <xm:f>"Incomplete"</xm:f>
            <x14:dxf>
              <fill>
                <patternFill>
                  <bgColor theme="9" tint="0.39994506668294322"/>
                </patternFill>
              </fill>
            </x14:dxf>
          </x14:cfRule>
          <xm:sqref>K26:K30 K32</xm:sqref>
        </x14:conditionalFormatting>
        <x14:conditionalFormatting xmlns:xm="http://schemas.microsoft.com/office/excel/2006/main">
          <x14:cfRule type="containsText" priority="1" operator="containsText" id="{F90AC682-DAA2-4240-8929-AB916313CA4D}">
            <xm:f>NOT(ISERROR(SEARCH("Final",K26)))</xm:f>
            <xm:f>"Final"</xm:f>
            <x14:dxf>
              <fill>
                <patternFill>
                  <bgColor theme="6" tint="0.59996337778862885"/>
                </patternFill>
              </fill>
            </x14:dxf>
          </x14:cfRule>
          <x14:cfRule type="containsText" priority="2" operator="containsText" id="{2EF077AA-E058-4825-9E9F-DE0BDBED3440}">
            <xm:f>NOT(ISERROR(SEARCH("Draft",K26)))</xm:f>
            <xm:f>"Draft"</xm:f>
            <x14:dxf>
              <fill>
                <patternFill>
                  <bgColor theme="8" tint="0.59996337778862885"/>
                </patternFill>
              </fill>
            </x14:dxf>
          </x14:cfRule>
          <xm:sqref>K26:K30 K32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7030A0"/>
    <pageSetUpPr fitToPage="1"/>
  </sheetPr>
  <dimension ref="A1:M32"/>
  <sheetViews>
    <sheetView showGridLines="0" zoomScalePageLayoutView="75" workbookViewId="0">
      <selection activeCell="J32" sqref="J32"/>
    </sheetView>
  </sheetViews>
  <sheetFormatPr defaultColWidth="8.85546875" defaultRowHeight="15" customHeight="1"/>
  <cols>
    <col min="1" max="1" width="3.42578125" style="2" customWidth="1"/>
    <col min="2" max="2" width="50.85546875" style="2" customWidth="1"/>
    <col min="3" max="3" width="11.140625" style="2" customWidth="1"/>
    <col min="4" max="5" width="11.42578125" style="2" customWidth="1"/>
    <col min="6" max="6" width="9.28515625" style="2" customWidth="1"/>
    <col min="7" max="7" width="35.28515625" style="2" customWidth="1"/>
    <col min="8" max="11" width="12.85546875" style="2" customWidth="1"/>
    <col min="12" max="12" width="8" style="6" customWidth="1"/>
    <col min="13" max="16384" width="8.85546875" style="2"/>
  </cols>
  <sheetData>
    <row r="1" spans="1:13" s="158" customFormat="1" ht="15" customHeight="1">
      <c r="L1" s="161"/>
    </row>
    <row r="2" spans="1:13" s="54" customFormat="1" ht="15" customHeight="1">
      <c r="A2" s="168"/>
      <c r="B2" s="164" t="s">
        <v>91</v>
      </c>
      <c r="C2" s="167"/>
      <c r="D2" s="168"/>
      <c r="E2" s="168"/>
      <c r="F2" s="168"/>
      <c r="G2" s="169"/>
      <c r="H2" s="170"/>
      <c r="I2" s="169"/>
      <c r="J2" s="168"/>
      <c r="K2" s="168"/>
      <c r="L2" s="261"/>
      <c r="M2" s="168"/>
    </row>
    <row r="3" spans="1:13" s="171" customFormat="1" ht="15" customHeight="1">
      <c r="A3" s="175"/>
      <c r="B3" s="253">
        <f>Cover!D6</f>
        <v>0</v>
      </c>
      <c r="C3" s="172"/>
      <c r="D3" s="172"/>
      <c r="E3" s="172"/>
      <c r="F3" s="172"/>
      <c r="G3" s="253"/>
      <c r="H3" s="254" t="s">
        <v>150</v>
      </c>
      <c r="I3" s="888">
        <f>Cover!K6</f>
        <v>0</v>
      </c>
      <c r="J3" s="889"/>
      <c r="K3" s="889"/>
      <c r="L3" s="262"/>
      <c r="M3" s="175"/>
    </row>
    <row r="4" spans="1:13" ht="15" customHeight="1">
      <c r="A4" s="158"/>
      <c r="B4" s="158"/>
      <c r="C4" s="158"/>
      <c r="D4" s="158"/>
      <c r="E4" s="158"/>
      <c r="F4" s="158"/>
      <c r="G4" s="158"/>
      <c r="H4" s="158"/>
      <c r="I4" s="158"/>
      <c r="J4" s="158"/>
      <c r="K4" s="159"/>
      <c r="L4" s="161"/>
      <c r="M4" s="158"/>
    </row>
    <row r="5" spans="1:13" s="5" customFormat="1" ht="15" customHeight="1">
      <c r="A5" s="7"/>
      <c r="B5" s="8" t="s">
        <v>87</v>
      </c>
      <c r="C5" s="9"/>
      <c r="D5" s="10"/>
      <c r="E5" s="225"/>
      <c r="F5" s="7"/>
      <c r="G5" s="8" t="s">
        <v>167</v>
      </c>
      <c r="H5" s="9"/>
      <c r="I5" s="9"/>
      <c r="J5" s="9"/>
      <c r="K5" s="10"/>
      <c r="L5" s="161"/>
      <c r="M5" s="7"/>
    </row>
    <row r="6" spans="1:13" ht="15" customHeight="1">
      <c r="A6" s="158"/>
      <c r="B6" s="13" t="s">
        <v>68</v>
      </c>
      <c r="C6" s="304">
        <v>1170</v>
      </c>
      <c r="D6" s="4" t="s">
        <v>67</v>
      </c>
      <c r="E6" s="347" t="s">
        <v>418</v>
      </c>
      <c r="F6" s="158"/>
      <c r="G6" s="13" t="s">
        <v>217</v>
      </c>
      <c r="H6" s="26"/>
      <c r="I6" s="191">
        <v>0.7</v>
      </c>
      <c r="J6" s="13"/>
      <c r="K6" s="26"/>
      <c r="M6" s="230"/>
    </row>
    <row r="7" spans="1:13" ht="15" customHeight="1">
      <c r="A7" s="158"/>
      <c r="B7" s="158"/>
      <c r="C7" s="158"/>
      <c r="D7" s="161"/>
      <c r="E7" s="161"/>
      <c r="F7" s="158"/>
      <c r="G7" s="216" t="s">
        <v>171</v>
      </c>
      <c r="H7" s="18" t="s">
        <v>163</v>
      </c>
      <c r="I7" s="192">
        <v>1</v>
      </c>
      <c r="J7" s="193" t="s">
        <v>170</v>
      </c>
      <c r="K7" s="162"/>
      <c r="L7" s="259">
        <f>'3. Site Based'!E7</f>
        <v>100</v>
      </c>
    </row>
    <row r="8" spans="1:13" s="5" customFormat="1" ht="15" customHeight="1">
      <c r="A8" s="7"/>
      <c r="F8" s="7"/>
      <c r="G8" s="2"/>
      <c r="H8" s="18" t="s">
        <v>168</v>
      </c>
      <c r="I8" s="192"/>
      <c r="J8" s="193" t="s">
        <v>170</v>
      </c>
      <c r="K8" s="162"/>
      <c r="L8" s="259">
        <f>'3. Site Based'!F7</f>
        <v>100</v>
      </c>
    </row>
    <row r="9" spans="1:13" ht="15" customHeight="1">
      <c r="A9" s="158"/>
      <c r="B9" s="8" t="s">
        <v>66</v>
      </c>
      <c r="C9" s="11"/>
      <c r="D9" s="12"/>
      <c r="E9" s="226"/>
      <c r="F9" s="158"/>
      <c r="H9" s="18" t="s">
        <v>169</v>
      </c>
      <c r="I9" s="192"/>
      <c r="J9" s="193" t="s">
        <v>170</v>
      </c>
      <c r="K9" s="162"/>
      <c r="L9" s="259">
        <f>'3. Site Based'!G7</f>
        <v>100</v>
      </c>
    </row>
    <row r="10" spans="1:13" ht="15" customHeight="1">
      <c r="A10" s="158"/>
      <c r="B10" s="14" t="s">
        <v>1</v>
      </c>
      <c r="C10" s="190">
        <v>0.48199999999999998</v>
      </c>
      <c r="D10" s="554">
        <f>C10*$C$6</f>
        <v>563.93999999999994</v>
      </c>
      <c r="E10" s="346" t="s">
        <v>419</v>
      </c>
      <c r="F10" s="158"/>
      <c r="L10" s="260"/>
    </row>
    <row r="11" spans="1:13" ht="15" customHeight="1">
      <c r="A11" s="158"/>
      <c r="B11" s="14" t="s">
        <v>277</v>
      </c>
      <c r="C11" s="190">
        <v>0.36099999999999999</v>
      </c>
      <c r="D11" s="554">
        <f t="shared" ref="D11:D16" si="0">C11*$C$6</f>
        <v>422.37</v>
      </c>
      <c r="E11" s="346" t="s">
        <v>420</v>
      </c>
      <c r="F11" s="158"/>
      <c r="G11" s="13" t="s">
        <v>218</v>
      </c>
      <c r="H11" s="26"/>
      <c r="I11" s="191">
        <v>0.3</v>
      </c>
      <c r="J11" s="349" t="s">
        <v>425</v>
      </c>
      <c r="K11" s="26"/>
      <c r="L11" s="161"/>
    </row>
    <row r="12" spans="1:13" ht="15" customHeight="1">
      <c r="A12" s="158"/>
      <c r="B12" s="14" t="s">
        <v>276</v>
      </c>
      <c r="C12" s="190">
        <v>9.6000000000000002E-2</v>
      </c>
      <c r="D12" s="554">
        <f t="shared" si="0"/>
        <v>112.32000000000001</v>
      </c>
      <c r="E12" s="346" t="s">
        <v>421</v>
      </c>
      <c r="F12" s="158"/>
      <c r="G12" s="216" t="s">
        <v>171</v>
      </c>
      <c r="H12" s="18" t="s">
        <v>164</v>
      </c>
      <c r="I12" s="305">
        <v>0.6</v>
      </c>
      <c r="J12" s="193" t="s">
        <v>170</v>
      </c>
      <c r="K12" s="162"/>
      <c r="L12" s="259">
        <f>'3. Site Based'!I7</f>
        <v>80</v>
      </c>
    </row>
    <row r="13" spans="1:13" ht="15" customHeight="1">
      <c r="A13" s="158"/>
      <c r="B13" s="14" t="s">
        <v>215</v>
      </c>
      <c r="C13" s="190">
        <v>2.1999999999999999E-2</v>
      </c>
      <c r="D13" s="554">
        <f t="shared" si="0"/>
        <v>25.74</v>
      </c>
      <c r="E13" s="346" t="s">
        <v>422</v>
      </c>
      <c r="F13" s="158"/>
      <c r="G13" s="158"/>
      <c r="H13" s="18" t="s">
        <v>165</v>
      </c>
      <c r="I13" s="305">
        <v>0.4</v>
      </c>
      <c r="J13" s="193" t="s">
        <v>170</v>
      </c>
      <c r="K13" s="154"/>
      <c r="L13" s="259">
        <f>'3. Site Based'!J7</f>
        <v>80</v>
      </c>
    </row>
    <row r="14" spans="1:13" ht="15" customHeight="1">
      <c r="A14" s="158"/>
      <c r="B14" s="14" t="s">
        <v>216</v>
      </c>
      <c r="C14" s="190">
        <v>2.1999999999999999E-2</v>
      </c>
      <c r="D14" s="554">
        <f t="shared" si="0"/>
        <v>25.74</v>
      </c>
      <c r="E14" s="346" t="s">
        <v>422</v>
      </c>
      <c r="F14" s="158"/>
      <c r="G14" s="158"/>
      <c r="H14" s="18" t="s">
        <v>166</v>
      </c>
      <c r="I14" s="305"/>
      <c r="J14" s="193" t="s">
        <v>170</v>
      </c>
      <c r="K14" s="154"/>
      <c r="L14" s="259">
        <f>'3. Site Based'!K7</f>
        <v>80</v>
      </c>
    </row>
    <row r="15" spans="1:13" ht="15" customHeight="1">
      <c r="A15" s="158"/>
      <c r="B15" s="14" t="s">
        <v>75</v>
      </c>
      <c r="C15" s="190">
        <v>1.7000000000000001E-2</v>
      </c>
      <c r="D15" s="554">
        <f t="shared" si="0"/>
        <v>19.89</v>
      </c>
      <c r="E15" s="346" t="s">
        <v>423</v>
      </c>
      <c r="F15" s="158"/>
      <c r="G15" s="158"/>
      <c r="H15" s="158"/>
      <c r="I15" s="158"/>
      <c r="J15" s="158"/>
      <c r="K15" s="158"/>
      <c r="M15" s="229"/>
    </row>
    <row r="16" spans="1:13" ht="15" customHeight="1">
      <c r="A16" s="158"/>
      <c r="B16" s="15" t="s">
        <v>65</v>
      </c>
      <c r="C16" s="16">
        <f>SUM(C10:C15)</f>
        <v>1</v>
      </c>
      <c r="D16" s="554">
        <f t="shared" si="0"/>
        <v>1170</v>
      </c>
      <c r="E16" s="228"/>
      <c r="F16" s="158"/>
      <c r="G16" s="8" t="s">
        <v>86</v>
      </c>
      <c r="H16" s="12"/>
      <c r="I16" s="11"/>
      <c r="J16" s="11"/>
      <c r="K16" s="12"/>
      <c r="M16" s="6"/>
    </row>
    <row r="17" spans="1:13" s="5" customFormat="1" ht="15" customHeight="1">
      <c r="A17" s="7"/>
      <c r="F17" s="7"/>
      <c r="G17" s="14" t="s">
        <v>71</v>
      </c>
      <c r="H17" s="18" t="s">
        <v>116</v>
      </c>
      <c r="I17" s="18" t="s">
        <v>72</v>
      </c>
      <c r="J17" s="18" t="s">
        <v>48</v>
      </c>
      <c r="K17" s="18" t="s">
        <v>221</v>
      </c>
      <c r="M17" s="161"/>
    </row>
    <row r="18" spans="1:13" ht="15" customHeight="1">
      <c r="A18" s="158"/>
      <c r="F18" s="158"/>
      <c r="G18" s="14" t="s">
        <v>215</v>
      </c>
      <c r="H18" s="510">
        <f>L18/J18/I18/10000</f>
        <v>25.74</v>
      </c>
      <c r="I18" s="191">
        <v>0.4</v>
      </c>
      <c r="J18" s="189">
        <v>2</v>
      </c>
      <c r="K18" s="264">
        <f>ROUND(L18,0)</f>
        <v>205920</v>
      </c>
      <c r="L18" s="3">
        <f>D13*I18*J18*10000</f>
        <v>205920</v>
      </c>
    </row>
    <row r="19" spans="1:13" ht="15" customHeight="1">
      <c r="A19" s="158"/>
      <c r="B19" s="8" t="s">
        <v>88</v>
      </c>
      <c r="C19" s="11"/>
      <c r="D19" s="12"/>
      <c r="E19" s="226"/>
      <c r="F19" s="158"/>
      <c r="G19" s="14" t="s">
        <v>216</v>
      </c>
      <c r="H19" s="510">
        <f>L19/J19/I19/10000</f>
        <v>25.74</v>
      </c>
      <c r="I19" s="191">
        <v>0.4</v>
      </c>
      <c r="J19" s="189">
        <v>1</v>
      </c>
      <c r="K19" s="264">
        <f>ROUND(L19,0)</f>
        <v>102960</v>
      </c>
      <c r="L19" s="3">
        <f>D14*I19*J19*10000</f>
        <v>102960</v>
      </c>
    </row>
    <row r="20" spans="1:13" ht="15" customHeight="1">
      <c r="A20" s="158"/>
      <c r="B20" s="13" t="s">
        <v>44</v>
      </c>
      <c r="C20" s="345">
        <f>C21/D10</f>
        <v>37.238004042983299</v>
      </c>
      <c r="D20" s="14" t="s">
        <v>0</v>
      </c>
      <c r="E20" s="142"/>
      <c r="F20" s="158"/>
      <c r="G20" s="14" t="s">
        <v>75</v>
      </c>
      <c r="H20" s="510">
        <f>L20/J20/I20/10000</f>
        <v>19.89</v>
      </c>
      <c r="I20" s="191">
        <v>0.4</v>
      </c>
      <c r="J20" s="189">
        <v>1</v>
      </c>
      <c r="K20" s="264">
        <f>ROUND(L20,0)</f>
        <v>79560</v>
      </c>
      <c r="L20" s="3">
        <f>D15*I20*J20*10000</f>
        <v>79560</v>
      </c>
    </row>
    <row r="21" spans="1:13" s="5" customFormat="1" ht="15" customHeight="1">
      <c r="A21" s="7"/>
      <c r="B21" s="13" t="s">
        <v>45</v>
      </c>
      <c r="C21" s="214">
        <v>21000</v>
      </c>
      <c r="D21" s="14" t="s">
        <v>69</v>
      </c>
      <c r="E21" s="224">
        <f>C20*D10</f>
        <v>21000</v>
      </c>
      <c r="G21" s="13" t="s">
        <v>47</v>
      </c>
      <c r="H21" s="511">
        <f>SUM(H18:H20)</f>
        <v>71.37</v>
      </c>
      <c r="I21" s="19"/>
      <c r="J21" s="20"/>
      <c r="K21" s="264">
        <f>SUM(L18:L20)</f>
        <v>388440</v>
      </c>
      <c r="M21" s="161"/>
    </row>
    <row r="22" spans="1:13" ht="15" customHeight="1">
      <c r="A22" s="158"/>
      <c r="B22" s="13" t="s">
        <v>192</v>
      </c>
      <c r="C22" s="214">
        <f>((C20*I6)*I7*L7)+((C20*I6)*I8*L8)+((C20*I6)*I9*L9)+((C20*I11)*I12*L12)+((C20*I11)*I13*L13)+((C20*I11)*I14*L14)</f>
        <v>3500.37238004043</v>
      </c>
      <c r="D22" s="14" t="s">
        <v>219</v>
      </c>
      <c r="E22" s="142"/>
      <c r="F22" s="158"/>
      <c r="G22" s="158"/>
      <c r="H22" s="158"/>
      <c r="I22" s="158"/>
      <c r="J22" s="158"/>
      <c r="K22" s="7"/>
      <c r="L22" s="161"/>
      <c r="M22" s="7"/>
    </row>
    <row r="23" spans="1:13" ht="15" customHeight="1">
      <c r="A23" s="158"/>
      <c r="B23" s="13" t="s">
        <v>193</v>
      </c>
      <c r="C23" s="214">
        <f>(C22*10.764)/2.473</f>
        <v>15235.749413164249</v>
      </c>
      <c r="D23" s="14" t="s">
        <v>220</v>
      </c>
      <c r="E23" s="142"/>
      <c r="F23" s="158"/>
      <c r="G23" s="8" t="s">
        <v>89</v>
      </c>
      <c r="H23" s="11"/>
      <c r="I23" s="11"/>
      <c r="J23" s="11"/>
      <c r="K23" s="12"/>
      <c r="L23" s="161"/>
      <c r="M23" s="158"/>
    </row>
    <row r="24" spans="1:13" ht="15" customHeight="1">
      <c r="A24" s="158"/>
      <c r="F24" s="158"/>
      <c r="G24" s="14" t="s">
        <v>71</v>
      </c>
      <c r="H24" s="18" t="s">
        <v>221</v>
      </c>
      <c r="I24" s="18" t="s">
        <v>222</v>
      </c>
      <c r="J24" s="18" t="s">
        <v>73</v>
      </c>
      <c r="K24" s="18" t="s">
        <v>74</v>
      </c>
      <c r="L24" s="161"/>
      <c r="M24" s="158"/>
    </row>
    <row r="25" spans="1:13" s="7" customFormat="1" ht="15" customHeight="1">
      <c r="B25" s="2"/>
      <c r="C25" s="55">
        <f>D10*C20</f>
        <v>21000</v>
      </c>
      <c r="D25" s="2"/>
      <c r="E25" s="2"/>
      <c r="G25" s="14" t="s">
        <v>215</v>
      </c>
      <c r="H25" s="271">
        <f>K18</f>
        <v>205920</v>
      </c>
      <c r="I25" s="263">
        <v>0.8</v>
      </c>
      <c r="J25" s="189">
        <v>20</v>
      </c>
      <c r="K25" s="264">
        <f>(L18*I25)/J25</f>
        <v>8236.7999999999993</v>
      </c>
      <c r="L25" s="161"/>
      <c r="M25" s="158"/>
    </row>
    <row r="26" spans="1:13" ht="15" customHeight="1">
      <c r="A26" s="158"/>
      <c r="B26" s="8" t="s">
        <v>78</v>
      </c>
      <c r="C26" s="213"/>
      <c r="D26" s="12"/>
      <c r="E26" s="226"/>
      <c r="F26" s="158"/>
      <c r="G26" s="14" t="s">
        <v>216</v>
      </c>
      <c r="H26" s="271">
        <f>K19</f>
        <v>102960</v>
      </c>
      <c r="I26" s="263">
        <v>0.8</v>
      </c>
      <c r="J26" s="189">
        <v>50</v>
      </c>
      <c r="K26" s="264">
        <f>(L19*I26)/J26</f>
        <v>1647.36</v>
      </c>
      <c r="L26" s="161"/>
      <c r="M26" s="158"/>
    </row>
    <row r="27" spans="1:13" ht="15" customHeight="1">
      <c r="B27" s="13" t="s">
        <v>46</v>
      </c>
      <c r="C27" s="189">
        <v>2.4</v>
      </c>
      <c r="D27" s="14" t="s">
        <v>64</v>
      </c>
      <c r="E27" s="142"/>
      <c r="G27" s="14" t="s">
        <v>75</v>
      </c>
      <c r="H27" s="271">
        <f>K20</f>
        <v>79560</v>
      </c>
      <c r="I27" s="263">
        <v>0.8</v>
      </c>
      <c r="J27" s="189">
        <v>15</v>
      </c>
      <c r="K27" s="264">
        <f>(L20*I27)/J27</f>
        <v>4243.2</v>
      </c>
    </row>
    <row r="28" spans="1:13" ht="15" customHeight="1">
      <c r="B28" s="13" t="s">
        <v>78</v>
      </c>
      <c r="C28" s="258">
        <f>C21*C27</f>
        <v>50400</v>
      </c>
      <c r="D28" s="14" t="s">
        <v>70</v>
      </c>
      <c r="E28" s="142"/>
      <c r="G28" s="13" t="s">
        <v>47</v>
      </c>
      <c r="H28" s="21"/>
      <c r="I28" s="21"/>
      <c r="J28" s="21"/>
      <c r="K28" s="264">
        <f>SUM(K25:L27)</f>
        <v>14127.36</v>
      </c>
    </row>
    <row r="29" spans="1:13" ht="15" customHeight="1">
      <c r="G29" s="46" t="s">
        <v>90</v>
      </c>
      <c r="H29" s="158"/>
      <c r="I29" s="158"/>
      <c r="J29" s="158"/>
      <c r="K29" s="348" t="s">
        <v>424</v>
      </c>
    </row>
    <row r="32" spans="1:13" s="5" customFormat="1" ht="15" customHeight="1">
      <c r="L32" s="6"/>
    </row>
  </sheetData>
  <sheetProtection selectLockedCells="1"/>
  <mergeCells count="1">
    <mergeCell ref="I3:K3"/>
  </mergeCells>
  <conditionalFormatting sqref="C16">
    <cfRule type="cellIs" dxfId="7" priority="5" operator="notEqual">
      <formula>1</formula>
    </cfRule>
  </conditionalFormatting>
  <pageMargins left="0.23622047244094491" right="0.23622047244094491" top="0.74803149606299213" bottom="0.74803149606299213" header="0.31496062992125984" footer="0.31496062992125984"/>
  <pageSetup paperSize="9" scale="78" orientation="landscape"/>
  <headerFooter>
    <oddFooter>&amp;R&amp;"Arial Narrow,Italic"&amp;8Created on: &amp;D</oddFooter>
    <evenFooter>&amp;R&amp;"Arial Narrow,Italic"&amp;8Created on: &amp;D</evenFooter>
    <firstFooter>&amp;R&amp;"Arial Narrow,Italic"&amp;8Created on: &amp;D</firstFooter>
  </headerFooter>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sheetPr>
  <dimension ref="A1:CL185"/>
  <sheetViews>
    <sheetView showGridLines="0" showZeros="0" topLeftCell="A31" zoomScale="125" zoomScaleNormal="140" zoomScalePageLayoutView="125" workbookViewId="0">
      <selection activeCell="E44" sqref="E44"/>
    </sheetView>
  </sheetViews>
  <sheetFormatPr defaultColWidth="8.85546875" defaultRowHeight="15.75" customHeight="1"/>
  <cols>
    <col min="1" max="1" width="3.42578125" style="2" customWidth="1"/>
    <col min="2" max="2" width="37.28515625" style="2" customWidth="1"/>
    <col min="3" max="3" width="13.140625" style="6" customWidth="1"/>
    <col min="4" max="4" width="9" style="6" customWidth="1"/>
    <col min="5" max="5" width="10.42578125" style="6" customWidth="1"/>
    <col min="6" max="6" width="10.7109375" style="6" customWidth="1"/>
    <col min="7" max="7" width="7.42578125" style="2" customWidth="1"/>
    <col min="8" max="14" width="2.42578125" style="2" customWidth="1"/>
    <col min="15" max="15" width="6.140625" style="2" customWidth="1"/>
    <col min="16" max="17" width="6.28515625" style="2" customWidth="1"/>
    <col min="18" max="29" width="7.42578125" style="2" customWidth="1"/>
    <col min="30" max="30" width="7.42578125" style="313" customWidth="1"/>
    <col min="31" max="62" width="7.42578125" style="2" customWidth="1"/>
    <col min="63" max="87" width="8.85546875" style="2"/>
    <col min="88" max="88" width="8.85546875" style="446"/>
    <col min="89" max="16384" width="8.85546875" style="2"/>
  </cols>
  <sheetData>
    <row r="1" spans="1:88" s="158" customFormat="1" ht="15.75" customHeight="1">
      <c r="A1" s="160"/>
      <c r="B1" s="160"/>
      <c r="C1" s="160"/>
      <c r="D1" s="174" t="s">
        <v>150</v>
      </c>
      <c r="E1" s="343">
        <f>Cover!K6</f>
        <v>0</v>
      </c>
      <c r="F1" s="344"/>
      <c r="G1" s="175"/>
      <c r="H1" s="5"/>
      <c r="I1" s="171"/>
      <c r="J1" s="171"/>
      <c r="K1" s="171"/>
      <c r="L1" s="171"/>
      <c r="M1" s="171"/>
      <c r="N1" s="171"/>
      <c r="O1" s="171"/>
      <c r="P1" s="171"/>
      <c r="Q1" s="171"/>
      <c r="R1" s="171"/>
      <c r="S1" s="171"/>
      <c r="T1" s="171"/>
      <c r="U1" s="171"/>
      <c r="V1" s="171"/>
      <c r="W1" s="171"/>
      <c r="AD1" s="565"/>
      <c r="CJ1" s="443"/>
    </row>
    <row r="2" spans="1:88" s="54" customFormat="1" ht="15.75" customHeight="1">
      <c r="A2" s="2"/>
      <c r="B2" s="2"/>
      <c r="C2" s="5"/>
      <c r="D2" s="5"/>
      <c r="E2" s="5"/>
      <c r="F2" s="5"/>
      <c r="G2" s="2"/>
      <c r="H2" s="2"/>
      <c r="I2" s="2"/>
      <c r="J2" s="2"/>
      <c r="K2" s="2"/>
      <c r="L2" s="2"/>
      <c r="M2" s="2"/>
      <c r="N2" s="2"/>
      <c r="O2" s="2"/>
      <c r="P2" s="2"/>
      <c r="Q2" s="2"/>
      <c r="R2" s="2"/>
      <c r="S2" s="2"/>
      <c r="T2" s="2"/>
      <c r="U2" s="2"/>
      <c r="V2" s="2"/>
      <c r="W2" s="2"/>
      <c r="AD2" s="566"/>
      <c r="CJ2" s="444"/>
    </row>
    <row r="3" spans="1:88" s="171" customFormat="1" ht="15.75" customHeight="1">
      <c r="A3" s="2"/>
      <c r="B3" s="173" t="s">
        <v>290</v>
      </c>
      <c r="C3" s="5"/>
      <c r="D3" s="5"/>
      <c r="E3" s="5"/>
      <c r="F3" s="5"/>
      <c r="G3" s="2"/>
      <c r="H3" s="2"/>
      <c r="I3" s="2"/>
      <c r="J3" s="2"/>
      <c r="K3" s="2"/>
      <c r="L3" s="2"/>
      <c r="M3" s="2"/>
      <c r="N3" s="2"/>
      <c r="O3" s="2"/>
      <c r="P3" s="2"/>
      <c r="Q3" s="2"/>
      <c r="R3" s="2"/>
      <c r="S3" s="2"/>
      <c r="T3" s="2"/>
      <c r="U3" s="2"/>
      <c r="V3" s="2"/>
      <c r="W3" s="2"/>
      <c r="AD3" s="567"/>
      <c r="CJ3" s="445"/>
    </row>
    <row r="4" spans="1:88" ht="15.75" customHeight="1">
      <c r="A4" s="5"/>
      <c r="B4" s="8" t="s">
        <v>291</v>
      </c>
      <c r="C4" s="22"/>
      <c r="D4" s="276"/>
      <c r="E4" s="275" t="s">
        <v>289</v>
      </c>
      <c r="F4" s="53" t="s">
        <v>4</v>
      </c>
      <c r="G4" s="5"/>
      <c r="H4" s="5"/>
      <c r="I4" s="5"/>
      <c r="J4" s="5"/>
      <c r="K4" s="5"/>
      <c r="L4" s="5"/>
      <c r="M4" s="5"/>
      <c r="N4" s="5"/>
      <c r="O4" s="5"/>
      <c r="P4" s="5"/>
      <c r="Q4" s="5"/>
      <c r="R4" s="5"/>
      <c r="S4" s="5"/>
      <c r="T4" s="5"/>
      <c r="U4" s="5"/>
      <c r="V4" s="5"/>
      <c r="W4" s="5"/>
    </row>
    <row r="5" spans="1:88" ht="15.75" customHeight="1">
      <c r="B5" s="13" t="s">
        <v>288</v>
      </c>
      <c r="C5" s="121"/>
      <c r="D5" s="26"/>
      <c r="E5" s="351">
        <f>IFERROR(((F5/'1. Landuse'!C21)*1000000),0)</f>
        <v>31676.190476190477</v>
      </c>
      <c r="F5" s="352">
        <f>SUM(E54:E58)</f>
        <v>665.2</v>
      </c>
    </row>
    <row r="6" spans="1:88" s="5" customFormat="1" ht="15.75" customHeight="1">
      <c r="A6" s="2"/>
      <c r="B6" s="34" t="s">
        <v>287</v>
      </c>
      <c r="C6" s="147"/>
      <c r="D6" s="120"/>
      <c r="E6" s="351">
        <f>IFERROR(((F6/'1. Landuse'!C21)*1000000),0)</f>
        <v>14861.904761904763</v>
      </c>
      <c r="F6" s="352">
        <f>SUM(E59:E80)</f>
        <v>312.10000000000002</v>
      </c>
      <c r="G6" s="2"/>
      <c r="H6" s="2"/>
      <c r="I6" s="2"/>
      <c r="J6" s="2"/>
      <c r="K6" s="2"/>
      <c r="L6" s="2"/>
      <c r="M6" s="2"/>
      <c r="N6" s="2"/>
      <c r="O6" s="2"/>
      <c r="P6" s="2"/>
      <c r="Q6" s="2"/>
      <c r="R6" s="2"/>
      <c r="S6" s="2"/>
      <c r="T6" s="2"/>
      <c r="U6" s="2"/>
      <c r="V6" s="2"/>
      <c r="W6" s="2"/>
      <c r="AD6" s="568"/>
      <c r="CJ6" s="447"/>
    </row>
    <row r="7" spans="1:88" ht="15.75" customHeight="1">
      <c r="B7" s="13" t="s">
        <v>431</v>
      </c>
      <c r="C7" s="121"/>
      <c r="D7" s="26"/>
      <c r="E7" s="278">
        <f>IFERROR(((F7/'1. Landuse'!C21)*1000000),0)</f>
        <v>46538.095238095237</v>
      </c>
      <c r="F7" s="279">
        <f>SUM(F5:F6)</f>
        <v>977.30000000000007</v>
      </c>
    </row>
    <row r="8" spans="1:88" ht="15.75" customHeight="1">
      <c r="B8" s="2" t="s">
        <v>430</v>
      </c>
      <c r="C8" s="2"/>
      <c r="D8" s="2"/>
      <c r="E8" s="2"/>
      <c r="F8" s="2"/>
    </row>
    <row r="9" spans="1:88" ht="15.75" customHeight="1">
      <c r="C9" s="2"/>
      <c r="D9" s="2"/>
      <c r="E9" s="2"/>
      <c r="F9" s="2"/>
    </row>
    <row r="10" spans="1:88" ht="15.75" customHeight="1">
      <c r="C10" s="2"/>
      <c r="D10" s="2"/>
      <c r="E10" s="2"/>
      <c r="F10" s="2"/>
    </row>
    <row r="11" spans="1:88" ht="15.75" customHeight="1">
      <c r="B11" s="173" t="s">
        <v>103</v>
      </c>
      <c r="C11" s="2"/>
      <c r="D11" s="2"/>
      <c r="E11" s="2"/>
      <c r="F11" s="2"/>
    </row>
    <row r="12" spans="1:88" ht="15.75" customHeight="1">
      <c r="B12" s="8" t="s">
        <v>157</v>
      </c>
      <c r="C12" s="22"/>
      <c r="D12" s="276"/>
      <c r="E12" s="22" t="s">
        <v>93</v>
      </c>
      <c r="F12" s="53" t="s">
        <v>4</v>
      </c>
    </row>
    <row r="13" spans="1:88" ht="15.75" customHeight="1">
      <c r="B13" s="39" t="s">
        <v>294</v>
      </c>
      <c r="C13" s="40"/>
      <c r="D13" s="872" t="s">
        <v>432</v>
      </c>
      <c r="E13" s="280">
        <v>200</v>
      </c>
      <c r="F13" s="123">
        <f>(E13*'1. Landuse'!C21)/1000000</f>
        <v>4.2</v>
      </c>
    </row>
    <row r="14" spans="1:88" ht="15.75" customHeight="1">
      <c r="B14" s="287" t="s">
        <v>311</v>
      </c>
      <c r="C14" s="288"/>
      <c r="D14" s="875" t="s">
        <v>433</v>
      </c>
      <c r="E14" s="189">
        <v>8</v>
      </c>
      <c r="F14" s="289" t="s">
        <v>312</v>
      </c>
    </row>
    <row r="15" spans="1:88" ht="15.75" customHeight="1">
      <c r="B15" s="287" t="s">
        <v>310</v>
      </c>
      <c r="C15" s="288"/>
      <c r="D15" s="873"/>
      <c r="E15" s="189">
        <v>3</v>
      </c>
      <c r="F15" s="289" t="s">
        <v>308</v>
      </c>
    </row>
    <row r="16" spans="1:88" ht="15.75" customHeight="1">
      <c r="B16" s="27" t="s">
        <v>281</v>
      </c>
      <c r="C16" s="35"/>
      <c r="D16" s="874" t="s">
        <v>434</v>
      </c>
      <c r="E16" s="190">
        <v>0.1</v>
      </c>
      <c r="F16" s="123">
        <f>E83</f>
        <v>85.970000000000013</v>
      </c>
    </row>
    <row r="17" spans="2:8" ht="15.75" customHeight="1">
      <c r="B17" s="27" t="s">
        <v>361</v>
      </c>
      <c r="C17" s="35"/>
      <c r="D17" s="36"/>
      <c r="E17" s="200">
        <v>5.2999999999999999E-2</v>
      </c>
      <c r="F17" s="32" t="s">
        <v>104</v>
      </c>
    </row>
    <row r="18" spans="2:8" ht="15.75" customHeight="1">
      <c r="B18" s="13" t="s">
        <v>224</v>
      </c>
      <c r="C18" s="19"/>
      <c r="D18" s="20"/>
      <c r="E18" s="200">
        <v>0.01</v>
      </c>
      <c r="F18" s="32" t="s">
        <v>104</v>
      </c>
    </row>
    <row r="19" spans="2:8" ht="15.75" customHeight="1">
      <c r="B19" s="34" t="s">
        <v>225</v>
      </c>
      <c r="C19" s="37"/>
      <c r="D19" s="38"/>
      <c r="E19" s="200">
        <v>5.0000000000000001E-3</v>
      </c>
      <c r="F19" s="32" t="s">
        <v>104</v>
      </c>
    </row>
    <row r="20" spans="2:8" ht="15.75" customHeight="1">
      <c r="B20" s="158"/>
      <c r="C20" s="161"/>
      <c r="D20" s="161"/>
      <c r="E20" s="311"/>
      <c r="F20" s="227"/>
    </row>
    <row r="21" spans="2:8" ht="15.75" customHeight="1">
      <c r="B21" s="173" t="s">
        <v>347</v>
      </c>
      <c r="C21" s="2"/>
      <c r="D21" s="2"/>
      <c r="E21" s="2"/>
      <c r="F21" s="2"/>
      <c r="H21" s="277"/>
    </row>
    <row r="22" spans="2:8" ht="15.75" customHeight="1">
      <c r="B22" s="8" t="s">
        <v>348</v>
      </c>
      <c r="C22" s="22"/>
      <c r="D22" s="276"/>
      <c r="E22" s="22" t="s">
        <v>93</v>
      </c>
      <c r="F22" s="53" t="s">
        <v>4</v>
      </c>
      <c r="H22" s="277"/>
    </row>
    <row r="23" spans="2:8" ht="15.75" customHeight="1">
      <c r="B23" s="13" t="s">
        <v>362</v>
      </c>
      <c r="C23" s="19"/>
      <c r="D23" s="20"/>
      <c r="E23" s="306">
        <v>0.15</v>
      </c>
      <c r="F23" s="122">
        <f>E84</f>
        <v>128.95500000000001</v>
      </c>
      <c r="H23" s="277"/>
    </row>
    <row r="24" spans="2:8" ht="15.75" customHeight="1">
      <c r="C24" s="2"/>
      <c r="D24" s="2"/>
      <c r="E24" s="2"/>
      <c r="F24" s="2"/>
      <c r="H24" s="277"/>
    </row>
    <row r="25" spans="2:8" ht="15.75" customHeight="1">
      <c r="B25" s="173" t="s">
        <v>211</v>
      </c>
      <c r="C25" s="2"/>
      <c r="D25" s="2"/>
      <c r="E25" s="2"/>
      <c r="F25" s="2"/>
      <c r="H25" s="277"/>
    </row>
    <row r="26" spans="2:8" ht="15.75" customHeight="1">
      <c r="B26" s="8" t="s">
        <v>212</v>
      </c>
      <c r="C26" s="22"/>
      <c r="D26" s="276"/>
      <c r="E26" s="22" t="s">
        <v>93</v>
      </c>
      <c r="F26" s="53" t="s">
        <v>4</v>
      </c>
      <c r="H26" s="277"/>
    </row>
    <row r="27" spans="2:8" ht="15.75" customHeight="1">
      <c r="B27" s="50" t="s">
        <v>574</v>
      </c>
      <c r="C27" s="19"/>
      <c r="D27" s="350" t="s">
        <v>435</v>
      </c>
      <c r="E27" s="201">
        <v>0.1</v>
      </c>
      <c r="F27" s="122">
        <f>E85</f>
        <v>39</v>
      </c>
      <c r="H27" s="277"/>
    </row>
    <row r="28" spans="2:8" ht="15.75" customHeight="1">
      <c r="B28" s="51" t="s">
        <v>575</v>
      </c>
      <c r="C28" s="37"/>
      <c r="D28" s="38"/>
      <c r="E28" s="201">
        <v>0.1</v>
      </c>
      <c r="F28" s="122">
        <f>E86</f>
        <v>27.52</v>
      </c>
      <c r="H28" s="277"/>
    </row>
    <row r="29" spans="2:8" ht="15.75" customHeight="1">
      <c r="B29" s="51" t="s">
        <v>576</v>
      </c>
      <c r="C29" s="37"/>
      <c r="D29" s="38"/>
      <c r="E29" s="201">
        <v>0.4</v>
      </c>
      <c r="F29" s="122">
        <f>E87</f>
        <v>77.800000000000011</v>
      </c>
    </row>
    <row r="30" spans="2:8" ht="15.75" customHeight="1">
      <c r="B30" s="50" t="s">
        <v>577</v>
      </c>
      <c r="C30" s="19"/>
      <c r="D30" s="20"/>
      <c r="E30" s="201"/>
      <c r="F30" s="122">
        <f>E54*E30</f>
        <v>0</v>
      </c>
    </row>
    <row r="31" spans="2:8" ht="15.75" customHeight="1">
      <c r="C31" s="2"/>
      <c r="D31" s="2"/>
      <c r="E31" s="2"/>
      <c r="F31" s="2"/>
    </row>
    <row r="32" spans="2:8" ht="15.75" customHeight="1">
      <c r="B32" s="50" t="s">
        <v>122</v>
      </c>
      <c r="C32" s="19"/>
      <c r="D32" s="20"/>
      <c r="E32" s="190"/>
      <c r="F32" s="265" t="s">
        <v>123</v>
      </c>
      <c r="H32" s="277"/>
    </row>
    <row r="33" spans="1:88" ht="15.75" customHeight="1">
      <c r="C33" s="2"/>
      <c r="D33" s="2"/>
      <c r="E33" s="2"/>
      <c r="F33" s="2"/>
      <c r="H33" s="277"/>
    </row>
    <row r="34" spans="1:88" ht="15.75" customHeight="1">
      <c r="B34" s="173" t="s">
        <v>273</v>
      </c>
      <c r="C34" s="2"/>
      <c r="D34" s="2"/>
      <c r="E34" s="2"/>
      <c r="F34" s="2"/>
      <c r="H34" s="277"/>
    </row>
    <row r="35" spans="1:88" ht="15.75" customHeight="1">
      <c r="A35" s="24"/>
      <c r="B35" s="8" t="s">
        <v>212</v>
      </c>
      <c r="C35" s="22"/>
      <c r="D35" s="276"/>
      <c r="E35" s="22" t="s">
        <v>93</v>
      </c>
      <c r="F35" s="53" t="s">
        <v>4</v>
      </c>
      <c r="H35" s="277"/>
      <c r="I35" s="5"/>
      <c r="J35" s="5"/>
      <c r="K35" s="5"/>
      <c r="L35" s="5"/>
      <c r="M35" s="5"/>
      <c r="N35" s="5"/>
      <c r="O35" s="5"/>
      <c r="P35" s="5"/>
      <c r="Q35" s="5"/>
      <c r="R35" s="5"/>
      <c r="S35" s="5"/>
      <c r="T35" s="5"/>
      <c r="U35" s="5"/>
      <c r="V35" s="5"/>
      <c r="W35" s="5"/>
    </row>
    <row r="36" spans="1:88" ht="15.75" customHeight="1">
      <c r="B36" s="13" t="s">
        <v>271</v>
      </c>
      <c r="C36" s="19"/>
      <c r="D36" s="20"/>
      <c r="E36" s="677">
        <v>2.5000000000000001E-2</v>
      </c>
      <c r="F36" s="2"/>
      <c r="H36" s="277"/>
    </row>
    <row r="37" spans="1:88" s="5" customFormat="1" ht="15.75" customHeight="1">
      <c r="B37" s="13" t="s">
        <v>272</v>
      </c>
      <c r="C37" s="121"/>
      <c r="D37" s="26"/>
      <c r="E37" s="201">
        <v>0.06</v>
      </c>
      <c r="F37" s="289" t="s">
        <v>242</v>
      </c>
      <c r="H37" s="277"/>
      <c r="I37" s="2"/>
      <c r="J37" s="2"/>
      <c r="K37" s="2"/>
      <c r="L37" s="2"/>
      <c r="M37" s="2"/>
      <c r="N37" s="2"/>
      <c r="O37" s="2"/>
      <c r="P37" s="2"/>
      <c r="Q37" s="2"/>
      <c r="R37" s="2"/>
      <c r="S37" s="2"/>
      <c r="T37" s="2"/>
      <c r="U37" s="2"/>
      <c r="V37" s="2"/>
      <c r="W37" s="2"/>
      <c r="AD37" s="568"/>
      <c r="CJ37" s="447"/>
    </row>
    <row r="38" spans="1:88" ht="15.75" customHeight="1">
      <c r="B38" s="13" t="s">
        <v>358</v>
      </c>
      <c r="C38" s="121"/>
      <c r="D38" s="26"/>
      <c r="E38" s="677">
        <v>1</v>
      </c>
      <c r="H38" s="277"/>
    </row>
    <row r="39" spans="1:88" ht="15.75" customHeight="1">
      <c r="B39" s="13" t="s">
        <v>299</v>
      </c>
      <c r="C39" s="121"/>
      <c r="D39" s="26"/>
      <c r="E39" s="677">
        <v>0.06</v>
      </c>
      <c r="F39" s="289" t="s">
        <v>242</v>
      </c>
      <c r="H39" s="277"/>
    </row>
    <row r="40" spans="1:88" ht="15.75" customHeight="1">
      <c r="B40" s="13" t="s">
        <v>300</v>
      </c>
      <c r="C40" s="121"/>
      <c r="D40" s="26"/>
      <c r="E40" s="677">
        <v>0.06</v>
      </c>
      <c r="F40" s="289" t="s">
        <v>242</v>
      </c>
    </row>
    <row r="41" spans="1:88" ht="15.75" customHeight="1">
      <c r="B41" s="5"/>
      <c r="C41" s="5"/>
      <c r="D41" s="5"/>
      <c r="E41" s="5"/>
      <c r="F41" s="5"/>
    </row>
    <row r="42" spans="1:88" ht="15.75" customHeight="1">
      <c r="B42" s="173" t="s">
        <v>243</v>
      </c>
      <c r="C42" s="31"/>
      <c r="D42" s="24"/>
      <c r="E42" s="2"/>
      <c r="F42" s="2"/>
    </row>
    <row r="43" spans="1:88" ht="15.75" customHeight="1">
      <c r="B43" s="8" t="s">
        <v>270</v>
      </c>
      <c r="C43" s="22"/>
      <c r="D43" s="276"/>
      <c r="E43" s="22" t="s">
        <v>93</v>
      </c>
      <c r="F43" s="53" t="s">
        <v>4</v>
      </c>
      <c r="H43" s="277"/>
    </row>
    <row r="44" spans="1:88" ht="15.75" customHeight="1">
      <c r="B44" s="28" t="s">
        <v>244</v>
      </c>
      <c r="C44" s="121"/>
      <c r="D44" s="26"/>
      <c r="E44" s="190">
        <v>0</v>
      </c>
      <c r="F44" s="289" t="s">
        <v>242</v>
      </c>
      <c r="G44" s="24"/>
      <c r="H44" s="277"/>
    </row>
    <row r="45" spans="1:88" ht="15.75" customHeight="1">
      <c r="B45" s="50" t="s">
        <v>245</v>
      </c>
      <c r="C45" s="19"/>
      <c r="D45" s="20"/>
      <c r="E45" s="201">
        <v>0</v>
      </c>
      <c r="F45" s="289" t="s">
        <v>242</v>
      </c>
      <c r="H45" s="277"/>
    </row>
    <row r="46" spans="1:88" ht="15.75" customHeight="1">
      <c r="B46" s="50" t="s">
        <v>246</v>
      </c>
      <c r="C46" s="19"/>
      <c r="D46" s="20"/>
      <c r="E46" s="190">
        <v>0</v>
      </c>
      <c r="F46" s="289" t="s">
        <v>242</v>
      </c>
      <c r="G46" s="5"/>
    </row>
    <row r="47" spans="1:88" ht="15.75" customHeight="1">
      <c r="A47" s="385"/>
    </row>
    <row r="48" spans="1:88" ht="15.75" customHeight="1">
      <c r="A48" s="385"/>
      <c r="B48" s="385"/>
      <c r="C48" s="386"/>
      <c r="D48" s="386"/>
      <c r="E48" s="386"/>
      <c r="F48" s="386"/>
    </row>
    <row r="49" spans="1:89" ht="15.75" customHeight="1">
      <c r="A49" s="385"/>
      <c r="B49" s="385"/>
      <c r="C49" s="386"/>
      <c r="D49" s="386"/>
      <c r="E49" s="386"/>
      <c r="F49" s="386"/>
      <c r="I49" s="6"/>
      <c r="J49" s="6"/>
      <c r="K49" s="6"/>
      <c r="L49" s="6"/>
    </row>
    <row r="52" spans="1:89" ht="15" customHeight="1">
      <c r="D52" s="231"/>
      <c r="F52" s="45" t="s">
        <v>583</v>
      </c>
      <c r="G52" s="45"/>
      <c r="H52" s="45"/>
      <c r="I52" s="45"/>
      <c r="J52" s="45"/>
      <c r="K52" s="45"/>
      <c r="L52" s="45"/>
      <c r="M52" s="45"/>
      <c r="N52" s="45"/>
      <c r="O52" s="45"/>
      <c r="P52" s="45"/>
      <c r="Q52" s="45"/>
      <c r="R52" s="45"/>
      <c r="S52" s="45">
        <v>1</v>
      </c>
      <c r="T52" s="45">
        <v>2</v>
      </c>
      <c r="U52" s="45">
        <v>3</v>
      </c>
      <c r="V52" s="45">
        <v>4</v>
      </c>
      <c r="W52" s="45">
        <v>5</v>
      </c>
      <c r="X52" s="45">
        <v>6</v>
      </c>
      <c r="Y52" s="45">
        <v>7</v>
      </c>
      <c r="Z52" s="45">
        <v>8</v>
      </c>
      <c r="AA52" s="45">
        <v>9</v>
      </c>
      <c r="AB52" s="45">
        <v>10</v>
      </c>
      <c r="AC52" s="45">
        <v>11</v>
      </c>
      <c r="AD52" s="312">
        <v>12</v>
      </c>
      <c r="AE52" s="45">
        <v>13</v>
      </c>
      <c r="AF52" s="45">
        <v>14</v>
      </c>
      <c r="AG52" s="45">
        <v>15</v>
      </c>
      <c r="AH52" s="45">
        <v>16</v>
      </c>
      <c r="AI52" s="45">
        <v>17</v>
      </c>
      <c r="AJ52" s="45">
        <v>18</v>
      </c>
      <c r="AK52" s="45">
        <v>19</v>
      </c>
      <c r="AL52" s="45">
        <v>20</v>
      </c>
      <c r="AM52" s="45">
        <v>21</v>
      </c>
      <c r="AN52" s="45">
        <v>22</v>
      </c>
      <c r="AO52" s="45">
        <v>23</v>
      </c>
      <c r="AP52" s="45">
        <v>24</v>
      </c>
      <c r="AQ52" s="45">
        <v>25</v>
      </c>
      <c r="AR52" s="45">
        <v>26</v>
      </c>
      <c r="AS52" s="45">
        <v>27</v>
      </c>
      <c r="AT52" s="45">
        <v>28</v>
      </c>
      <c r="AU52" s="45">
        <v>29</v>
      </c>
      <c r="AV52" s="45">
        <v>30</v>
      </c>
      <c r="AW52" s="45">
        <v>31</v>
      </c>
      <c r="AX52" s="45">
        <v>32</v>
      </c>
      <c r="AY52" s="45">
        <v>33</v>
      </c>
      <c r="AZ52" s="45">
        <v>34</v>
      </c>
      <c r="BA52" s="45">
        <v>35</v>
      </c>
      <c r="BB52" s="45">
        <v>36</v>
      </c>
      <c r="BC52" s="45">
        <v>37</v>
      </c>
      <c r="BD52" s="45">
        <v>38</v>
      </c>
      <c r="BE52" s="45">
        <v>39</v>
      </c>
      <c r="BF52" s="45">
        <v>40</v>
      </c>
      <c r="BG52" s="45">
        <v>41</v>
      </c>
      <c r="BH52" s="45">
        <v>42</v>
      </c>
      <c r="BI52" s="45">
        <v>43</v>
      </c>
      <c r="BJ52" s="45">
        <v>44</v>
      </c>
      <c r="BK52" s="45">
        <v>45</v>
      </c>
      <c r="BL52" s="45">
        <v>46</v>
      </c>
      <c r="BM52" s="45">
        <v>47</v>
      </c>
      <c r="BN52" s="45">
        <v>48</v>
      </c>
      <c r="BO52" s="45">
        <v>49</v>
      </c>
      <c r="BP52" s="45">
        <v>50</v>
      </c>
      <c r="BQ52" s="45">
        <v>51</v>
      </c>
      <c r="BR52" s="45">
        <v>52</v>
      </c>
      <c r="BS52" s="45">
        <v>53</v>
      </c>
      <c r="BT52" s="45">
        <v>54</v>
      </c>
      <c r="BU52" s="45">
        <v>55</v>
      </c>
      <c r="BV52" s="45">
        <v>56</v>
      </c>
      <c r="BW52" s="45">
        <v>57</v>
      </c>
      <c r="BX52" s="45">
        <v>58</v>
      </c>
      <c r="BY52" s="45">
        <v>59</v>
      </c>
      <c r="BZ52" s="45">
        <v>60</v>
      </c>
      <c r="CA52" s="45">
        <v>61</v>
      </c>
      <c r="CB52" s="45">
        <v>62</v>
      </c>
      <c r="CC52" s="45">
        <v>63</v>
      </c>
      <c r="CD52" s="45">
        <v>64</v>
      </c>
      <c r="CE52" s="45">
        <v>65</v>
      </c>
      <c r="CF52" s="45">
        <v>66</v>
      </c>
      <c r="CG52" s="45">
        <v>67</v>
      </c>
      <c r="CH52" s="45">
        <v>68</v>
      </c>
      <c r="CI52" s="45">
        <v>69</v>
      </c>
    </row>
    <row r="53" spans="1:89" s="1" customFormat="1" ht="15" customHeight="1">
      <c r="B53" s="173"/>
      <c r="C53" s="30"/>
      <c r="D53" s="6" t="s">
        <v>584</v>
      </c>
      <c r="E53" s="93"/>
      <c r="F53" s="63" t="s">
        <v>586</v>
      </c>
      <c r="G53" s="63">
        <v>2017</v>
      </c>
      <c r="H53" s="63">
        <v>2018</v>
      </c>
      <c r="I53" s="63">
        <v>2019</v>
      </c>
      <c r="J53" s="63">
        <v>2020</v>
      </c>
      <c r="K53" s="63">
        <v>2021</v>
      </c>
      <c r="L53" s="63">
        <v>2022</v>
      </c>
      <c r="M53" s="63">
        <v>2023</v>
      </c>
      <c r="N53" s="63">
        <v>2024</v>
      </c>
      <c r="O53" s="63">
        <v>2025</v>
      </c>
      <c r="P53" s="63">
        <v>2026</v>
      </c>
      <c r="Q53" s="63">
        <v>2027</v>
      </c>
      <c r="R53" s="63">
        <v>2028</v>
      </c>
      <c r="S53" s="63">
        <v>2029</v>
      </c>
      <c r="T53" s="63">
        <v>2030</v>
      </c>
      <c r="U53" s="63">
        <v>2031</v>
      </c>
      <c r="V53" s="63">
        <v>2032</v>
      </c>
      <c r="W53" s="63">
        <v>2033</v>
      </c>
      <c r="X53" s="63">
        <v>2034</v>
      </c>
      <c r="Y53" s="63">
        <v>2035</v>
      </c>
      <c r="Z53" s="63">
        <v>2036</v>
      </c>
      <c r="AA53" s="63">
        <v>2037</v>
      </c>
      <c r="AB53" s="63">
        <v>2038</v>
      </c>
      <c r="AC53" s="63">
        <v>2039</v>
      </c>
      <c r="AD53" s="569">
        <v>2040</v>
      </c>
      <c r="AE53" s="63">
        <v>2041</v>
      </c>
      <c r="AF53" s="63">
        <v>2042</v>
      </c>
      <c r="AG53" s="63">
        <v>2043</v>
      </c>
      <c r="AH53" s="63">
        <v>2044</v>
      </c>
      <c r="AI53" s="63">
        <v>2045</v>
      </c>
      <c r="AJ53" s="63">
        <v>2046</v>
      </c>
      <c r="AK53" s="63">
        <v>2047</v>
      </c>
      <c r="AL53" s="63">
        <v>2048</v>
      </c>
      <c r="AM53" s="63">
        <v>2049</v>
      </c>
      <c r="AN53" s="63">
        <v>2050</v>
      </c>
      <c r="AO53" s="63">
        <v>2051</v>
      </c>
      <c r="AP53" s="63">
        <v>2052</v>
      </c>
      <c r="AQ53" s="63">
        <v>2053</v>
      </c>
      <c r="AR53" s="63">
        <v>2054</v>
      </c>
      <c r="AS53" s="63">
        <v>2055</v>
      </c>
      <c r="AT53" s="63">
        <v>2056</v>
      </c>
      <c r="AU53" s="63">
        <v>2057</v>
      </c>
      <c r="AV53" s="63">
        <v>2058</v>
      </c>
      <c r="AW53" s="63">
        <v>2059</v>
      </c>
      <c r="AX53" s="63">
        <v>2060</v>
      </c>
      <c r="AY53" s="63">
        <v>2061</v>
      </c>
      <c r="AZ53" s="63">
        <v>2062</v>
      </c>
      <c r="BA53" s="63">
        <v>2063</v>
      </c>
      <c r="BB53" s="63">
        <v>2064</v>
      </c>
      <c r="BC53" s="63">
        <v>2065</v>
      </c>
      <c r="BD53" s="63">
        <v>2066</v>
      </c>
      <c r="BE53" s="63">
        <v>2067</v>
      </c>
      <c r="BF53" s="63">
        <v>2068</v>
      </c>
      <c r="BG53" s="63">
        <v>2069</v>
      </c>
      <c r="BH53" s="63">
        <v>2070</v>
      </c>
      <c r="BI53" s="63">
        <v>2071</v>
      </c>
      <c r="BJ53" s="63">
        <v>2072</v>
      </c>
      <c r="BK53" s="63">
        <v>2073</v>
      </c>
      <c r="BL53" s="63">
        <v>2074</v>
      </c>
      <c r="BM53" s="63">
        <v>2075</v>
      </c>
      <c r="BN53" s="63">
        <v>2076</v>
      </c>
      <c r="BO53" s="63">
        <v>2077</v>
      </c>
      <c r="BP53" s="63">
        <v>2078</v>
      </c>
      <c r="BQ53" s="63">
        <v>2079</v>
      </c>
      <c r="BR53" s="63">
        <v>2080</v>
      </c>
      <c r="BS53" s="63">
        <v>2081</v>
      </c>
      <c r="BT53" s="63">
        <v>2082</v>
      </c>
      <c r="BU53" s="63">
        <v>2083</v>
      </c>
      <c r="BV53" s="63">
        <v>2084</v>
      </c>
      <c r="BW53" s="63">
        <v>2085</v>
      </c>
      <c r="BX53" s="63">
        <v>2086</v>
      </c>
      <c r="BY53" s="63">
        <v>2087</v>
      </c>
      <c r="BZ53" s="63">
        <v>2088</v>
      </c>
      <c r="CA53" s="63">
        <v>2089</v>
      </c>
      <c r="CB53" s="63">
        <v>2090</v>
      </c>
      <c r="CC53" s="63">
        <v>2091</v>
      </c>
      <c r="CD53" s="63">
        <v>2092</v>
      </c>
      <c r="CE53" s="63">
        <v>2093</v>
      </c>
      <c r="CF53" s="63">
        <v>2094</v>
      </c>
      <c r="CG53" s="63">
        <v>2095</v>
      </c>
      <c r="CH53" s="63">
        <v>2096</v>
      </c>
      <c r="CI53" s="63">
        <v>2097</v>
      </c>
      <c r="CJ53" s="448">
        <v>2098</v>
      </c>
      <c r="CK53" s="63">
        <v>2099</v>
      </c>
    </row>
    <row r="54" spans="1:89" ht="15.75" customHeight="1">
      <c r="B54" s="2" t="s">
        <v>612</v>
      </c>
      <c r="C54" s="372">
        <v>389.98</v>
      </c>
      <c r="D54" s="436">
        <f>E54-SUM(F54:CK54)</f>
        <v>0</v>
      </c>
      <c r="E54" s="372">
        <v>390</v>
      </c>
      <c r="F54" s="437" t="s">
        <v>587</v>
      </c>
      <c r="R54" s="644">
        <f>$E54*'4. Dev Phasing'!Q$7/'4. Dev Phasing'!$C$7</f>
        <v>2.7857142857142856</v>
      </c>
      <c r="S54" s="644">
        <f>$E54*'4. Dev Phasing'!R$7/'4. Dev Phasing'!$C$7</f>
        <v>5.5714285714285712</v>
      </c>
      <c r="T54" s="644">
        <f>$E54*'4. Dev Phasing'!S$7/'4. Dev Phasing'!$C$7</f>
        <v>5.5714285714285712</v>
      </c>
      <c r="U54" s="644">
        <f>$E54*'4. Dev Phasing'!T$7/'4. Dev Phasing'!$C$7</f>
        <v>5.5714285714285712</v>
      </c>
      <c r="V54" s="644">
        <f>$E54*'4. Dev Phasing'!U$7/'4. Dev Phasing'!$C$7</f>
        <v>5.5714285714285712</v>
      </c>
      <c r="W54" s="644">
        <f>$E54*'4. Dev Phasing'!V$7/'4. Dev Phasing'!$C$7</f>
        <v>5.5714285714285712</v>
      </c>
      <c r="X54" s="644">
        <f>$E54*'4. Dev Phasing'!W$7/'4. Dev Phasing'!$C$7</f>
        <v>5.5714285714285712</v>
      </c>
      <c r="Y54" s="644">
        <f>$E54*'4. Dev Phasing'!X$7/'4. Dev Phasing'!$C$7</f>
        <v>5.5714285714285712</v>
      </c>
      <c r="Z54" s="644">
        <f>$E54*'4. Dev Phasing'!Y$7/'4. Dev Phasing'!$C$7</f>
        <v>5.5714285714285712</v>
      </c>
      <c r="AA54" s="644">
        <f>$E54*'4. Dev Phasing'!Z$7/'4. Dev Phasing'!$C$7</f>
        <v>5.5714285714285712</v>
      </c>
      <c r="AB54" s="644">
        <f>$E54*'4. Dev Phasing'!AA$7/'4. Dev Phasing'!$C$7</f>
        <v>5.5714285714285712</v>
      </c>
      <c r="AC54" s="644">
        <f>$E54*'4. Dev Phasing'!AB$7/'4. Dev Phasing'!$C$7</f>
        <v>5.5714285714285712</v>
      </c>
      <c r="AD54" s="645">
        <f>$E54*'4. Dev Phasing'!AC$7/'4. Dev Phasing'!$C$7</f>
        <v>5.5714285714285712</v>
      </c>
      <c r="AE54" s="644">
        <f>$E54*'4. Dev Phasing'!AD$7/'4. Dev Phasing'!$C$7</f>
        <v>5.5714285714285712</v>
      </c>
      <c r="AF54" s="644">
        <f>$E54*'4. Dev Phasing'!AE$7/'4. Dev Phasing'!$C$7</f>
        <v>5.5714285714285712</v>
      </c>
      <c r="AG54" s="644">
        <f>$E54*'4. Dev Phasing'!AF$7/'4. Dev Phasing'!$C$7</f>
        <v>5.5714285714285712</v>
      </c>
      <c r="AH54" s="644">
        <f>$E54*'4. Dev Phasing'!AG$7/'4. Dev Phasing'!$C$7</f>
        <v>5.5714285714285712</v>
      </c>
      <c r="AI54" s="644">
        <f>$E54*'4. Dev Phasing'!AH$7/'4. Dev Phasing'!$C$7</f>
        <v>5.5714285714285712</v>
      </c>
      <c r="AJ54" s="644">
        <f>$E54*'4. Dev Phasing'!AI$7/'4. Dev Phasing'!$C$7</f>
        <v>5.5714285714285712</v>
      </c>
      <c r="AK54" s="644">
        <f>$E54*'4. Dev Phasing'!AJ$7/'4. Dev Phasing'!$C$7</f>
        <v>5.5714285714285712</v>
      </c>
      <c r="AL54" s="644">
        <f>$E54*'4. Dev Phasing'!AK$7/'4. Dev Phasing'!$C$7</f>
        <v>5.5714285714285712</v>
      </c>
      <c r="AM54" s="644">
        <f>$E54*'4. Dev Phasing'!AL$7/'4. Dev Phasing'!$C$7</f>
        <v>5.5714285714285712</v>
      </c>
      <c r="AN54" s="644">
        <f>$E54*'4. Dev Phasing'!AM$7/'4. Dev Phasing'!$C$7</f>
        <v>5.5714285714285712</v>
      </c>
      <c r="AO54" s="644">
        <f>$E54*'4. Dev Phasing'!AN$7/'4. Dev Phasing'!$C$7</f>
        <v>5.5714285714285712</v>
      </c>
      <c r="AP54" s="644">
        <f>$E54*'4. Dev Phasing'!AO$7/'4. Dev Phasing'!$C$7</f>
        <v>5.5714285714285712</v>
      </c>
      <c r="AQ54" s="644">
        <f>$E54*'4. Dev Phasing'!AP$7/'4. Dev Phasing'!$C$7</f>
        <v>5.5714285714285712</v>
      </c>
      <c r="AR54" s="644">
        <f>$E54*'4. Dev Phasing'!AQ$7/'4. Dev Phasing'!$C$7</f>
        <v>5.5714285714285712</v>
      </c>
      <c r="AS54" s="644">
        <f>$E54*'4. Dev Phasing'!AR$7/'4. Dev Phasing'!$C$7</f>
        <v>5.5714285714285712</v>
      </c>
      <c r="AT54" s="644">
        <f>$E54*'4. Dev Phasing'!AS$7/'4. Dev Phasing'!$C$7</f>
        <v>5.5714285714285712</v>
      </c>
      <c r="AU54" s="644">
        <f>$E54*'4. Dev Phasing'!AT$7/'4. Dev Phasing'!$C$7</f>
        <v>5.5714285714285712</v>
      </c>
      <c r="AV54" s="644">
        <f>$E54*'4. Dev Phasing'!AU$7/'4. Dev Phasing'!$C$7</f>
        <v>5.5714285714285712</v>
      </c>
      <c r="AW54" s="644">
        <f>$E54*'4. Dev Phasing'!AV$7/'4. Dev Phasing'!$C$7</f>
        <v>5.5714285714285712</v>
      </c>
      <c r="AX54" s="644">
        <f>$E54*'4. Dev Phasing'!AW$7/'4. Dev Phasing'!$C$7</f>
        <v>5.5714285714285712</v>
      </c>
      <c r="AY54" s="644">
        <f>$E54*'4. Dev Phasing'!AX$7/'4. Dev Phasing'!$C$7</f>
        <v>5.5714285714285712</v>
      </c>
      <c r="AZ54" s="644">
        <f>$E54*'4. Dev Phasing'!AY$7/'4. Dev Phasing'!$C$7</f>
        <v>5.5714285714285712</v>
      </c>
      <c r="BA54" s="644">
        <f>$E54*'4. Dev Phasing'!AZ$7/'4. Dev Phasing'!$C$7</f>
        <v>5.5714285714285712</v>
      </c>
      <c r="BB54" s="644">
        <f>$E54*'4. Dev Phasing'!BA$7/'4. Dev Phasing'!$C$7</f>
        <v>5.5714285714285712</v>
      </c>
      <c r="BC54" s="644">
        <f>$E54*'4. Dev Phasing'!BB$7/'4. Dev Phasing'!$C$7</f>
        <v>5.5714285714285712</v>
      </c>
      <c r="BD54" s="644">
        <f>$E54*'4. Dev Phasing'!BC$7/'4. Dev Phasing'!$C$7</f>
        <v>5.5714285714285712</v>
      </c>
      <c r="BE54" s="644">
        <f>$E54*'4. Dev Phasing'!BD$7/'4. Dev Phasing'!$C$7</f>
        <v>5.5714285714285712</v>
      </c>
      <c r="BF54" s="644">
        <f>$E54*'4. Dev Phasing'!BE$7/'4. Dev Phasing'!$C$7</f>
        <v>5.5714285714285712</v>
      </c>
      <c r="BG54" s="644">
        <f>$E54*'4. Dev Phasing'!BF$7/'4. Dev Phasing'!$C$7</f>
        <v>5.5714285714285712</v>
      </c>
      <c r="BH54" s="644">
        <f>$E54*'4. Dev Phasing'!BG$7/'4. Dev Phasing'!$C$7</f>
        <v>5.5714285714285712</v>
      </c>
      <c r="BI54" s="644">
        <f>$E54*'4. Dev Phasing'!BH$7/'4. Dev Phasing'!$C$7</f>
        <v>5.5714285714285712</v>
      </c>
      <c r="BJ54" s="644">
        <f>$E54*'4. Dev Phasing'!BI$7/'4. Dev Phasing'!$C$7</f>
        <v>5.5714285714285712</v>
      </c>
      <c r="BK54" s="644">
        <f>$E54*'4. Dev Phasing'!BJ$7/'4. Dev Phasing'!$C$7</f>
        <v>5.5714285714285712</v>
      </c>
      <c r="BL54" s="644">
        <f>$E54*'4. Dev Phasing'!BK$7/'4. Dev Phasing'!$C$7</f>
        <v>5.5714285714285712</v>
      </c>
      <c r="BM54" s="644">
        <f>$E54*'4. Dev Phasing'!BL$7/'4. Dev Phasing'!$C$7</f>
        <v>5.5714285714285712</v>
      </c>
      <c r="BN54" s="644">
        <f>$E54*'4. Dev Phasing'!BM$7/'4. Dev Phasing'!$C$7</f>
        <v>5.5714285714285712</v>
      </c>
      <c r="BO54" s="644">
        <f>$E54*'4. Dev Phasing'!BN$7/'4. Dev Phasing'!$C$7</f>
        <v>5.5714285714285712</v>
      </c>
      <c r="BP54" s="644">
        <f>$E54*'4. Dev Phasing'!BO$7/'4. Dev Phasing'!$C$7</f>
        <v>5.5714285714285712</v>
      </c>
      <c r="BQ54" s="644">
        <f>$E54*'4. Dev Phasing'!BP$7/'4. Dev Phasing'!$C$7</f>
        <v>5.5714285714285712</v>
      </c>
      <c r="BR54" s="644">
        <f>$E54*'4. Dev Phasing'!BQ$7/'4. Dev Phasing'!$C$7</f>
        <v>5.5714285714285712</v>
      </c>
      <c r="BS54" s="644">
        <f>$E54*'4. Dev Phasing'!BR$7/'4. Dev Phasing'!$C$7</f>
        <v>5.5714285714285712</v>
      </c>
      <c r="BT54" s="644">
        <f>$E54*'4. Dev Phasing'!BS$7/'4. Dev Phasing'!$C$7</f>
        <v>5.5714285714285712</v>
      </c>
      <c r="BU54" s="644">
        <f>$E54*'4. Dev Phasing'!BT$7/'4. Dev Phasing'!$C$7</f>
        <v>5.5714285714285712</v>
      </c>
      <c r="BV54" s="644">
        <f>$E54*'4. Dev Phasing'!BU$7/'4. Dev Phasing'!$C$7</f>
        <v>5.5714285714285712</v>
      </c>
      <c r="BW54" s="644">
        <f>$E54*'4. Dev Phasing'!BV$7/'4. Dev Phasing'!$C$7</f>
        <v>5.5714285714285712</v>
      </c>
      <c r="BX54" s="644">
        <f>$E54*'4. Dev Phasing'!BW$7/'4. Dev Phasing'!$C$7</f>
        <v>5.5714285714285712</v>
      </c>
      <c r="BY54" s="644">
        <f>$E54*'4. Dev Phasing'!BX$7/'4. Dev Phasing'!$C$7</f>
        <v>5.5714285714285712</v>
      </c>
      <c r="BZ54" s="644">
        <f>$E54*'4. Dev Phasing'!BY$7/'4. Dev Phasing'!$C$7</f>
        <v>5.5714285714285712</v>
      </c>
      <c r="CA54" s="644">
        <f>$E54*'4. Dev Phasing'!BZ$7/'4. Dev Phasing'!$C$7</f>
        <v>5.5714285714285712</v>
      </c>
      <c r="CB54" s="644">
        <f>$E54*'4. Dev Phasing'!CA$7/'4. Dev Phasing'!$C$7</f>
        <v>5.5714285714285712</v>
      </c>
      <c r="CC54" s="644">
        <f>$E54*'4. Dev Phasing'!CB$7/'4. Dev Phasing'!$C$7</f>
        <v>5.5714285714285712</v>
      </c>
      <c r="CD54" s="644">
        <f>$E54*'4. Dev Phasing'!CC$7/'4. Dev Phasing'!$C$7</f>
        <v>5.5714285714285712</v>
      </c>
      <c r="CE54" s="434">
        <f>$E54*'4. Dev Phasing'!CD$7/'4. Dev Phasing'!$C$7</f>
        <v>5.5714285714285712</v>
      </c>
      <c r="CF54" s="434">
        <f>$E54*'4. Dev Phasing'!CE$7/'4. Dev Phasing'!$C$7</f>
        <v>5.5714285714285712</v>
      </c>
      <c r="CG54" s="434">
        <f>$E54*'4. Dev Phasing'!CF$7/'4. Dev Phasing'!$C$7</f>
        <v>5.5714285714285712</v>
      </c>
      <c r="CH54" s="434">
        <f>$E54*'4. Dev Phasing'!CG$7/'4. Dev Phasing'!$C$7</f>
        <v>5.5714285714285712</v>
      </c>
      <c r="CI54" s="434">
        <f>$E54*'4. Dev Phasing'!CH$7/'4. Dev Phasing'!$C$7</f>
        <v>5.5714285714285712</v>
      </c>
      <c r="CJ54" s="449">
        <f>$E54*'4. Dev Phasing'!CI$7/'4. Dev Phasing'!$C$7</f>
        <v>2.7857142857142856</v>
      </c>
      <c r="CK54" s="434">
        <f>$E54*'4. Dev Phasing'!CJ$7/'4. Dev Phasing'!$C$7</f>
        <v>0</v>
      </c>
    </row>
    <row r="55" spans="1:89" ht="15.75" customHeight="1">
      <c r="B55" s="2" t="s">
        <v>613</v>
      </c>
      <c r="C55" s="372">
        <v>172.3</v>
      </c>
      <c r="D55" s="436">
        <f>E55-SUM(F55:CK55)</f>
        <v>0</v>
      </c>
      <c r="E55" s="374">
        <v>172.2</v>
      </c>
      <c r="F55" s="437" t="s">
        <v>585</v>
      </c>
      <c r="R55" s="646"/>
      <c r="S55" s="647">
        <v>3</v>
      </c>
      <c r="T55" s="646">
        <v>3.5</v>
      </c>
      <c r="U55" s="646"/>
      <c r="V55" s="646"/>
      <c r="W55" s="646"/>
      <c r="X55" s="646">
        <v>5.2</v>
      </c>
      <c r="Y55" s="646">
        <v>3.5</v>
      </c>
      <c r="Z55" s="646">
        <f>11-0.2</f>
        <v>10.8</v>
      </c>
      <c r="AA55" s="646">
        <v>11.1</v>
      </c>
      <c r="AC55" s="2">
        <v>1.2</v>
      </c>
      <c r="AF55" s="2">
        <v>4</v>
      </c>
      <c r="AG55" s="2">
        <v>3.5</v>
      </c>
      <c r="AH55" s="2">
        <v>7.6</v>
      </c>
      <c r="AI55" s="2">
        <v>1.2</v>
      </c>
      <c r="AL55" s="2">
        <v>4</v>
      </c>
      <c r="AM55" s="2">
        <v>3.5</v>
      </c>
      <c r="AN55" s="2">
        <v>1.2</v>
      </c>
      <c r="AP55" s="2">
        <v>11</v>
      </c>
      <c r="AQ55" s="2">
        <v>11.1</v>
      </c>
      <c r="AR55" s="2">
        <v>1.2</v>
      </c>
      <c r="AS55" s="2">
        <v>4</v>
      </c>
      <c r="AT55" s="2">
        <v>3.5</v>
      </c>
      <c r="AW55" s="2">
        <v>1.2</v>
      </c>
      <c r="AZ55" s="2">
        <v>4</v>
      </c>
      <c r="BA55" s="2">
        <v>3.5</v>
      </c>
      <c r="BB55" s="2">
        <v>1.2</v>
      </c>
      <c r="BF55" s="2">
        <v>4</v>
      </c>
      <c r="BG55" s="2">
        <v>3.5</v>
      </c>
      <c r="BH55" s="2">
        <v>1.2</v>
      </c>
      <c r="BK55" s="2">
        <v>1.2</v>
      </c>
      <c r="BM55" s="2">
        <v>4</v>
      </c>
      <c r="BN55" s="2">
        <v>3.5</v>
      </c>
      <c r="BQ55" s="2">
        <v>1.2</v>
      </c>
      <c r="BS55" s="2">
        <v>4</v>
      </c>
      <c r="BT55" s="2">
        <v>3.6</v>
      </c>
      <c r="BU55" s="2">
        <v>11</v>
      </c>
      <c r="BV55" s="2">
        <v>11.1</v>
      </c>
      <c r="BW55" s="2">
        <v>1.2</v>
      </c>
      <c r="BZ55" s="2">
        <v>4</v>
      </c>
      <c r="CA55" s="2">
        <v>3.5</v>
      </c>
      <c r="CB55" s="2">
        <v>1.2</v>
      </c>
      <c r="CE55" s="2">
        <v>1.2</v>
      </c>
      <c r="CG55" s="2">
        <v>4</v>
      </c>
      <c r="CH55" s="2">
        <v>3.6</v>
      </c>
      <c r="CK55" s="2">
        <v>1.2</v>
      </c>
    </row>
    <row r="56" spans="1:89" s="96" customFormat="1" ht="15.75" customHeight="1">
      <c r="B56" s="96" t="s">
        <v>614</v>
      </c>
      <c r="C56" s="638">
        <v>36.1</v>
      </c>
      <c r="D56" s="639">
        <f>E56-SUM(F56:CK56)</f>
        <v>0</v>
      </c>
      <c r="E56" s="640">
        <v>36.1</v>
      </c>
      <c r="F56" s="558" t="s">
        <v>588</v>
      </c>
      <c r="S56" s="641"/>
      <c r="T56" s="641">
        <v>1.5</v>
      </c>
      <c r="U56" s="641"/>
      <c r="V56" s="641"/>
      <c r="W56" s="641"/>
      <c r="X56" s="641"/>
      <c r="Y56" s="641"/>
      <c r="Z56" s="641">
        <v>2.5</v>
      </c>
      <c r="AA56" s="641"/>
      <c r="AB56" s="641"/>
      <c r="AC56" s="641"/>
      <c r="AD56" s="642">
        <v>2.5</v>
      </c>
      <c r="AE56" s="641"/>
      <c r="AF56" s="641"/>
      <c r="AG56" s="641"/>
      <c r="AH56" s="641"/>
      <c r="AI56" s="641">
        <v>2.5</v>
      </c>
      <c r="AJ56" s="641"/>
      <c r="AK56" s="641"/>
      <c r="AL56" s="641"/>
      <c r="AM56" s="641"/>
      <c r="AN56" s="641">
        <v>2.5</v>
      </c>
      <c r="AO56" s="641"/>
      <c r="AP56" s="641"/>
      <c r="AQ56" s="641"/>
      <c r="AR56" s="641">
        <v>2.5</v>
      </c>
      <c r="AS56" s="641"/>
      <c r="AT56" s="641"/>
      <c r="AU56" s="641"/>
      <c r="AV56" s="641"/>
      <c r="AW56" s="641"/>
      <c r="AX56" s="641">
        <v>2.5</v>
      </c>
      <c r="AY56" s="641"/>
      <c r="AZ56" s="641"/>
      <c r="BA56" s="641"/>
      <c r="BB56" s="641"/>
      <c r="BC56" s="641">
        <v>2.5</v>
      </c>
      <c r="BD56" s="641"/>
      <c r="BE56" s="641"/>
      <c r="BF56" s="641"/>
      <c r="BG56" s="641"/>
      <c r="BH56" s="641">
        <v>2.5</v>
      </c>
      <c r="BI56" s="641"/>
      <c r="BJ56" s="641"/>
      <c r="BK56" s="641"/>
      <c r="BL56" s="641"/>
      <c r="BM56" s="641">
        <v>2.5</v>
      </c>
      <c r="BN56" s="641"/>
      <c r="BO56" s="641"/>
      <c r="BP56" s="641"/>
      <c r="BQ56" s="641">
        <v>3</v>
      </c>
      <c r="BR56" s="641"/>
      <c r="BS56" s="641"/>
      <c r="BT56" s="641"/>
      <c r="BU56" s="641">
        <v>2.5</v>
      </c>
      <c r="BV56" s="641"/>
      <c r="BW56" s="641"/>
      <c r="BX56" s="641"/>
      <c r="BY56" s="641">
        <v>2.5</v>
      </c>
      <c r="BZ56" s="641"/>
      <c r="CA56" s="641"/>
      <c r="CB56" s="641"/>
      <c r="CC56" s="641">
        <v>2.5</v>
      </c>
      <c r="CD56" s="641"/>
      <c r="CE56" s="641"/>
      <c r="CF56" s="641"/>
      <c r="CG56" s="641">
        <v>1.6</v>
      </c>
      <c r="CH56" s="641"/>
      <c r="CI56" s="641"/>
      <c r="CJ56" s="643"/>
      <c r="CK56" s="641"/>
    </row>
    <row r="57" spans="1:89" s="96" customFormat="1" ht="15.75" customHeight="1">
      <c r="B57" s="96" t="s">
        <v>615</v>
      </c>
      <c r="C57" s="640">
        <v>66.95</v>
      </c>
      <c r="D57" s="639">
        <f>E57-SUM(F57:CK57)</f>
        <v>0</v>
      </c>
      <c r="E57" s="640">
        <v>56.4</v>
      </c>
      <c r="F57" s="558" t="s">
        <v>588</v>
      </c>
      <c r="S57" s="641">
        <v>2</v>
      </c>
      <c r="T57" s="641">
        <v>2</v>
      </c>
      <c r="U57" s="641"/>
      <c r="V57" s="641"/>
      <c r="W57" s="641"/>
      <c r="X57" s="641">
        <v>2</v>
      </c>
      <c r="Y57" s="641">
        <v>2</v>
      </c>
      <c r="Z57" s="641"/>
      <c r="AA57" s="641"/>
      <c r="AB57" s="641"/>
      <c r="AC57" s="641">
        <v>2</v>
      </c>
      <c r="AD57" s="642">
        <v>2</v>
      </c>
      <c r="AE57" s="641"/>
      <c r="AF57" s="641"/>
      <c r="AG57" s="641">
        <v>2</v>
      </c>
      <c r="AH57" s="641">
        <v>2</v>
      </c>
      <c r="AI57" s="641"/>
      <c r="AJ57" s="641"/>
      <c r="AK57" s="641">
        <v>2</v>
      </c>
      <c r="AL57" s="641">
        <v>2</v>
      </c>
      <c r="AM57" s="641"/>
      <c r="AN57" s="641"/>
      <c r="AO57" s="641"/>
      <c r="AP57" s="641">
        <v>2</v>
      </c>
      <c r="AQ57" s="641">
        <v>2</v>
      </c>
      <c r="AR57" s="641"/>
      <c r="AS57" s="641"/>
      <c r="AT57" s="641"/>
      <c r="AU57" s="641">
        <v>2</v>
      </c>
      <c r="AV57" s="641">
        <v>2</v>
      </c>
      <c r="AW57" s="641"/>
      <c r="AX57" s="641"/>
      <c r="AY57" s="641"/>
      <c r="AZ57" s="641">
        <v>2</v>
      </c>
      <c r="BA57" s="641">
        <v>2</v>
      </c>
      <c r="BB57" s="641"/>
      <c r="BC57" s="641"/>
      <c r="BD57" s="641"/>
      <c r="BE57" s="641">
        <v>2</v>
      </c>
      <c r="BF57" s="641">
        <v>2</v>
      </c>
      <c r="BG57" s="641"/>
      <c r="BH57" s="641"/>
      <c r="BI57" s="641"/>
      <c r="BJ57" s="641">
        <v>2</v>
      </c>
      <c r="BK57" s="641">
        <v>2</v>
      </c>
      <c r="BL57" s="641"/>
      <c r="BM57" s="641"/>
      <c r="BN57" s="641">
        <v>2</v>
      </c>
      <c r="BO57" s="641">
        <v>2</v>
      </c>
      <c r="BP57" s="641"/>
      <c r="BQ57" s="641"/>
      <c r="BR57" s="641"/>
      <c r="BS57" s="641"/>
      <c r="BT57" s="641">
        <v>2</v>
      </c>
      <c r="BU57" s="641">
        <v>2</v>
      </c>
      <c r="BV57" s="641"/>
      <c r="BW57" s="641"/>
      <c r="BX57" s="641"/>
      <c r="BY57" s="641"/>
      <c r="BZ57" s="641"/>
      <c r="CA57" s="641">
        <v>2</v>
      </c>
      <c r="CB57" s="641">
        <v>2</v>
      </c>
      <c r="CC57" s="641"/>
      <c r="CD57" s="641"/>
      <c r="CE57" s="641"/>
      <c r="CF57" s="641">
        <v>2</v>
      </c>
      <c r="CG57" s="641"/>
      <c r="CH57" s="641"/>
      <c r="CI57" s="641"/>
      <c r="CJ57" s="643"/>
      <c r="CK57" s="641">
        <v>2.4</v>
      </c>
    </row>
    <row r="58" spans="1:89" ht="15.75" customHeight="1">
      <c r="B58" s="2" t="s">
        <v>616</v>
      </c>
      <c r="D58" s="436">
        <f>E58-SUM(H58:CK58)</f>
        <v>0</v>
      </c>
      <c r="E58" s="374">
        <v>10.5</v>
      </c>
      <c r="F58" s="437" t="s">
        <v>588</v>
      </c>
      <c r="S58" s="434">
        <f>$E58*'4. Dev Phasing'!Q$7/'4. Dev Phasing'!$C$7</f>
        <v>7.4999999999999997E-2</v>
      </c>
      <c r="T58" s="434">
        <f>$E58*'4. Dev Phasing'!R$7/'4. Dev Phasing'!$C$7</f>
        <v>0.15</v>
      </c>
      <c r="U58" s="434">
        <f>$E58*'4. Dev Phasing'!S$7/'4. Dev Phasing'!$C$7</f>
        <v>0.15</v>
      </c>
      <c r="V58" s="434">
        <f>$E58*'4. Dev Phasing'!T$7/'4. Dev Phasing'!$C$7</f>
        <v>0.15</v>
      </c>
      <c r="W58" s="434">
        <f>$E58*'4. Dev Phasing'!U$7/'4. Dev Phasing'!$C$7</f>
        <v>0.15</v>
      </c>
      <c r="X58" s="434">
        <f>$E58*'4. Dev Phasing'!V$7/'4. Dev Phasing'!$C$7</f>
        <v>0.15</v>
      </c>
      <c r="Y58" s="434">
        <f>$E58*'4. Dev Phasing'!W$7/'4. Dev Phasing'!$C$7</f>
        <v>0.15</v>
      </c>
      <c r="Z58" s="434">
        <f>$E58*'4. Dev Phasing'!X$7/'4. Dev Phasing'!$C$7</f>
        <v>0.15</v>
      </c>
      <c r="AA58" s="434">
        <f>$E58*'4. Dev Phasing'!Y$7/'4. Dev Phasing'!$C$7</f>
        <v>0.15</v>
      </c>
      <c r="AB58" s="434">
        <f>$E58*'4. Dev Phasing'!Z$7/'4. Dev Phasing'!$C$7</f>
        <v>0.15</v>
      </c>
      <c r="AC58" s="434">
        <f>$E58*'4. Dev Phasing'!AA$7/'4. Dev Phasing'!$C$7</f>
        <v>0.15</v>
      </c>
      <c r="AD58" s="570">
        <f>$E58*'4. Dev Phasing'!AB$7/'4. Dev Phasing'!$C$7</f>
        <v>0.15</v>
      </c>
      <c r="AE58" s="434">
        <f>$E58*'4. Dev Phasing'!AC$7/'4. Dev Phasing'!$C$7</f>
        <v>0.15</v>
      </c>
      <c r="AF58" s="434">
        <f>$E58*'4. Dev Phasing'!AD$7/'4. Dev Phasing'!$C$7</f>
        <v>0.15</v>
      </c>
      <c r="AG58" s="434">
        <f>$E58*'4. Dev Phasing'!AE$7/'4. Dev Phasing'!$C$7</f>
        <v>0.15</v>
      </c>
      <c r="AH58" s="434">
        <f>$E58*'4. Dev Phasing'!AF$7/'4. Dev Phasing'!$C$7</f>
        <v>0.15</v>
      </c>
      <c r="AI58" s="434">
        <f>$E58*'4. Dev Phasing'!AG$7/'4. Dev Phasing'!$C$7</f>
        <v>0.15</v>
      </c>
      <c r="AJ58" s="434">
        <f>$E58*'4. Dev Phasing'!AH$7/'4. Dev Phasing'!$C$7</f>
        <v>0.15</v>
      </c>
      <c r="AK58" s="434">
        <f>$E58*'4. Dev Phasing'!AI$7/'4. Dev Phasing'!$C$7</f>
        <v>0.15</v>
      </c>
      <c r="AL58" s="434">
        <f>$E58*'4. Dev Phasing'!AJ$7/'4. Dev Phasing'!$C$7</f>
        <v>0.15</v>
      </c>
      <c r="AM58" s="434">
        <f>$E58*'4. Dev Phasing'!AK$7/'4. Dev Phasing'!$C$7</f>
        <v>0.15</v>
      </c>
      <c r="AN58" s="434">
        <f>$E58*'4. Dev Phasing'!AL$7/'4. Dev Phasing'!$C$7</f>
        <v>0.15</v>
      </c>
      <c r="AO58" s="434">
        <f>$E58*'4. Dev Phasing'!AM$7/'4. Dev Phasing'!$C$7</f>
        <v>0.15</v>
      </c>
      <c r="AP58" s="434">
        <f>$E58*'4. Dev Phasing'!AN$7/'4. Dev Phasing'!$C$7</f>
        <v>0.15</v>
      </c>
      <c r="AQ58" s="434">
        <f>$E58*'4. Dev Phasing'!AO$7/'4. Dev Phasing'!$C$7</f>
        <v>0.15</v>
      </c>
      <c r="AR58" s="434">
        <f>$E58*'4. Dev Phasing'!AP$7/'4. Dev Phasing'!$C$7</f>
        <v>0.15</v>
      </c>
      <c r="AS58" s="434">
        <f>$E58*'4. Dev Phasing'!AQ$7/'4. Dev Phasing'!$C$7</f>
        <v>0.15</v>
      </c>
      <c r="AT58" s="434">
        <f>$E58*'4. Dev Phasing'!AR$7/'4. Dev Phasing'!$C$7</f>
        <v>0.15</v>
      </c>
      <c r="AU58" s="434">
        <f>$E58*'4. Dev Phasing'!AS$7/'4. Dev Phasing'!$C$7</f>
        <v>0.15</v>
      </c>
      <c r="AV58" s="434">
        <f>$E58*'4. Dev Phasing'!AT$7/'4. Dev Phasing'!$C$7</f>
        <v>0.15</v>
      </c>
      <c r="AW58" s="434">
        <f>$E58*'4. Dev Phasing'!AU$7/'4. Dev Phasing'!$C$7</f>
        <v>0.15</v>
      </c>
      <c r="AX58" s="434">
        <f>$E58*'4. Dev Phasing'!AV$7/'4. Dev Phasing'!$C$7</f>
        <v>0.15</v>
      </c>
      <c r="AY58" s="434">
        <f>$E58*'4. Dev Phasing'!AW$7/'4. Dev Phasing'!$C$7</f>
        <v>0.15</v>
      </c>
      <c r="AZ58" s="434">
        <f>$E58*'4. Dev Phasing'!AX$7/'4. Dev Phasing'!$C$7</f>
        <v>0.15</v>
      </c>
      <c r="BA58" s="434">
        <f>$E58*'4. Dev Phasing'!AY$7/'4. Dev Phasing'!$C$7</f>
        <v>0.15</v>
      </c>
      <c r="BB58" s="434">
        <f>$E58*'4. Dev Phasing'!AZ$7/'4. Dev Phasing'!$C$7</f>
        <v>0.15</v>
      </c>
      <c r="BC58" s="434">
        <f>$E58*'4. Dev Phasing'!BA$7/'4. Dev Phasing'!$C$7</f>
        <v>0.15</v>
      </c>
      <c r="BD58" s="434">
        <f>$E58*'4. Dev Phasing'!BB$7/'4. Dev Phasing'!$C$7</f>
        <v>0.15</v>
      </c>
      <c r="BE58" s="434">
        <f>$E58*'4. Dev Phasing'!BC$7/'4. Dev Phasing'!$C$7</f>
        <v>0.15</v>
      </c>
      <c r="BF58" s="434">
        <f>$E58*'4. Dev Phasing'!BD$7/'4. Dev Phasing'!$C$7</f>
        <v>0.15</v>
      </c>
      <c r="BG58" s="434">
        <f>$E58*'4. Dev Phasing'!BE$7/'4. Dev Phasing'!$C$7</f>
        <v>0.15</v>
      </c>
      <c r="BH58" s="434">
        <f>$E58*'4. Dev Phasing'!BF$7/'4. Dev Phasing'!$C$7</f>
        <v>0.15</v>
      </c>
      <c r="BI58" s="434">
        <f>$E58*'4. Dev Phasing'!BG$7/'4. Dev Phasing'!$C$7</f>
        <v>0.15</v>
      </c>
      <c r="BJ58" s="434">
        <f>$E58*'4. Dev Phasing'!BH$7/'4. Dev Phasing'!$C$7</f>
        <v>0.15</v>
      </c>
      <c r="BK58" s="434">
        <f>$E58*'4. Dev Phasing'!BI$7/'4. Dev Phasing'!$C$7</f>
        <v>0.15</v>
      </c>
      <c r="BL58" s="434">
        <f>$E58*'4. Dev Phasing'!BJ$7/'4. Dev Phasing'!$C$7</f>
        <v>0.15</v>
      </c>
      <c r="BM58" s="434">
        <f>$E58*'4. Dev Phasing'!BK$7/'4. Dev Phasing'!$C$7</f>
        <v>0.15</v>
      </c>
      <c r="BN58" s="434">
        <f>$E58*'4. Dev Phasing'!BL$7/'4. Dev Phasing'!$C$7</f>
        <v>0.15</v>
      </c>
      <c r="BO58" s="434">
        <f>$E58*'4. Dev Phasing'!BM$7/'4. Dev Phasing'!$C$7</f>
        <v>0.15</v>
      </c>
      <c r="BP58" s="434">
        <f>$E58*'4. Dev Phasing'!BN$7/'4. Dev Phasing'!$C$7</f>
        <v>0.15</v>
      </c>
      <c r="BQ58" s="434">
        <f>$E58*'4. Dev Phasing'!BO$7/'4. Dev Phasing'!$C$7</f>
        <v>0.15</v>
      </c>
      <c r="BR58" s="434">
        <f>$E58*'4. Dev Phasing'!BP$7/'4. Dev Phasing'!$C$7</f>
        <v>0.15</v>
      </c>
      <c r="BS58" s="434">
        <f>$E58*'4. Dev Phasing'!BQ$7/'4. Dev Phasing'!$C$7</f>
        <v>0.15</v>
      </c>
      <c r="BT58" s="434">
        <f>$E58*'4. Dev Phasing'!BR$7/'4. Dev Phasing'!$C$7</f>
        <v>0.15</v>
      </c>
      <c r="BU58" s="434">
        <f>$E58*'4. Dev Phasing'!BS$7/'4. Dev Phasing'!$C$7</f>
        <v>0.15</v>
      </c>
      <c r="BV58" s="434">
        <f>$E58*'4. Dev Phasing'!BT$7/'4. Dev Phasing'!$C$7</f>
        <v>0.15</v>
      </c>
      <c r="BW58" s="434">
        <f>$E58*'4. Dev Phasing'!BU$7/'4. Dev Phasing'!$C$7</f>
        <v>0.15</v>
      </c>
      <c r="BX58" s="434">
        <f>$E58*'4. Dev Phasing'!BV$7/'4. Dev Phasing'!$C$7</f>
        <v>0.15</v>
      </c>
      <c r="BY58" s="434">
        <f>$E58*'4. Dev Phasing'!BW$7/'4. Dev Phasing'!$C$7</f>
        <v>0.15</v>
      </c>
      <c r="BZ58" s="434">
        <f>$E58*'4. Dev Phasing'!BX$7/'4. Dev Phasing'!$C$7</f>
        <v>0.15</v>
      </c>
      <c r="CA58" s="434">
        <f>$E58*'4. Dev Phasing'!BY$7/'4. Dev Phasing'!$C$7</f>
        <v>0.15</v>
      </c>
      <c r="CB58" s="434">
        <f>$E58*'4. Dev Phasing'!BZ$7/'4. Dev Phasing'!$C$7</f>
        <v>0.15</v>
      </c>
      <c r="CC58" s="434">
        <f>$E58*'4. Dev Phasing'!CA$7/'4. Dev Phasing'!$C$7</f>
        <v>0.15</v>
      </c>
      <c r="CD58" s="434">
        <f>$E58*'4. Dev Phasing'!CB$7/'4. Dev Phasing'!$C$7</f>
        <v>0.15</v>
      </c>
      <c r="CE58" s="434">
        <f>$E58*'4. Dev Phasing'!CC$7/'4. Dev Phasing'!$C$7</f>
        <v>0.15</v>
      </c>
      <c r="CF58" s="434">
        <f>$E58*'4. Dev Phasing'!CD$7/'4. Dev Phasing'!$C$7</f>
        <v>0.15</v>
      </c>
      <c r="CG58" s="434">
        <f>$E58*'4. Dev Phasing'!CE$7/'4. Dev Phasing'!$C$7</f>
        <v>0.15</v>
      </c>
      <c r="CH58" s="434">
        <f>$E58*'4. Dev Phasing'!CF$7/'4. Dev Phasing'!$C$7</f>
        <v>0.15</v>
      </c>
      <c r="CI58" s="434">
        <f>$E58*'4. Dev Phasing'!CG$7/'4. Dev Phasing'!$C$7</f>
        <v>0.15</v>
      </c>
      <c r="CJ58" s="449">
        <f>$E58*'4. Dev Phasing'!CH$7/'4. Dev Phasing'!$C$7</f>
        <v>0.15</v>
      </c>
      <c r="CK58" s="434">
        <f>$E58*'4. Dev Phasing'!CI$7/'4. Dev Phasing'!$C$7</f>
        <v>7.4999999999999997E-2</v>
      </c>
    </row>
    <row r="59" spans="1:89" ht="15.75" customHeight="1">
      <c r="B59" s="2" t="s">
        <v>551</v>
      </c>
      <c r="C59" s="372">
        <v>70.36</v>
      </c>
      <c r="D59" s="436">
        <f>E59-SUM(H59:CK59)</f>
        <v>0</v>
      </c>
      <c r="E59" s="372">
        <v>22.9</v>
      </c>
      <c r="F59" s="437" t="s">
        <v>588</v>
      </c>
      <c r="S59" s="434"/>
      <c r="T59" s="434"/>
      <c r="U59" s="434"/>
      <c r="V59" s="434"/>
      <c r="W59" s="434"/>
      <c r="X59" s="434"/>
      <c r="Y59" s="434"/>
      <c r="Z59" s="434"/>
      <c r="AA59" s="434"/>
      <c r="AB59" s="434"/>
      <c r="AC59" s="434"/>
      <c r="AD59" s="570"/>
      <c r="AE59" s="434"/>
      <c r="AF59" s="434"/>
      <c r="AG59" s="434"/>
      <c r="AH59" s="434"/>
      <c r="AI59" s="434"/>
      <c r="AJ59" s="434"/>
      <c r="AK59" s="434"/>
      <c r="AL59" s="434"/>
      <c r="AM59" s="434"/>
      <c r="AN59" s="434"/>
      <c r="AO59" s="434"/>
      <c r="AP59" s="434">
        <v>11.4</v>
      </c>
      <c r="AQ59" s="434"/>
      <c r="AR59" s="434"/>
      <c r="AS59" s="434"/>
      <c r="AT59" s="434"/>
      <c r="AU59" s="434"/>
      <c r="AV59" s="434"/>
      <c r="AW59" s="434"/>
      <c r="AX59" s="434"/>
      <c r="AY59" s="434"/>
      <c r="AZ59" s="434"/>
      <c r="BA59" s="434"/>
      <c r="BB59" s="434"/>
      <c r="BC59" s="434"/>
      <c r="BD59" s="434"/>
      <c r="BE59" s="434"/>
      <c r="BF59" s="434"/>
      <c r="BG59" s="434"/>
      <c r="BH59" s="434"/>
      <c r="BI59" s="434"/>
      <c r="BJ59" s="434"/>
      <c r="BK59" s="434"/>
      <c r="BL59" s="434"/>
      <c r="BM59" s="434"/>
      <c r="BN59" s="434"/>
      <c r="BO59" s="434"/>
      <c r="BP59" s="434"/>
      <c r="BQ59" s="434">
        <v>11.5</v>
      </c>
      <c r="BR59" s="434"/>
      <c r="BS59" s="434"/>
      <c r="BT59" s="434"/>
      <c r="BU59" s="434"/>
      <c r="BV59" s="434"/>
      <c r="BW59" s="434"/>
      <c r="BX59" s="434"/>
      <c r="BY59" s="434"/>
      <c r="BZ59" s="434"/>
      <c r="CA59" s="434"/>
      <c r="CB59" s="434"/>
      <c r="CC59" s="434"/>
      <c r="CD59" s="434"/>
      <c r="CE59" s="434"/>
      <c r="CF59" s="434"/>
      <c r="CG59" s="434"/>
      <c r="CH59" s="434"/>
      <c r="CI59" s="434"/>
      <c r="CJ59" s="449"/>
      <c r="CK59" s="434"/>
    </row>
    <row r="60" spans="1:89" ht="15.75" customHeight="1">
      <c r="B60" s="2" t="s">
        <v>552</v>
      </c>
      <c r="C60" s="372"/>
      <c r="D60" s="436">
        <f>E60-SUM(H60:CK60)</f>
        <v>0</v>
      </c>
      <c r="E60" s="372">
        <v>12.3</v>
      </c>
      <c r="F60" s="437" t="s">
        <v>588</v>
      </c>
      <c r="S60" s="434"/>
      <c r="T60" s="434">
        <v>2</v>
      </c>
      <c r="U60" s="434">
        <v>2</v>
      </c>
      <c r="V60" s="434">
        <v>2</v>
      </c>
      <c r="W60" s="434">
        <v>2</v>
      </c>
      <c r="X60" s="434">
        <v>2</v>
      </c>
      <c r="Y60" s="434">
        <v>2.2999999999999998</v>
      </c>
      <c r="Z60" s="434"/>
      <c r="AA60" s="434"/>
      <c r="AB60" s="434"/>
      <c r="AC60" s="434"/>
      <c r="AD60" s="570"/>
      <c r="AE60" s="434"/>
      <c r="AF60" s="434"/>
      <c r="AG60" s="434"/>
      <c r="AH60" s="434"/>
      <c r="AI60" s="434"/>
      <c r="AJ60" s="434"/>
      <c r="AK60" s="434"/>
      <c r="AL60" s="434"/>
      <c r="AM60" s="434"/>
      <c r="AN60" s="434"/>
      <c r="AO60" s="434"/>
      <c r="AP60" s="434"/>
      <c r="AQ60" s="434"/>
      <c r="AR60" s="434"/>
      <c r="AS60" s="434"/>
      <c r="AT60" s="434"/>
      <c r="AU60" s="434"/>
      <c r="AV60" s="434"/>
      <c r="AW60" s="434"/>
      <c r="AX60" s="434"/>
      <c r="AY60" s="434"/>
      <c r="AZ60" s="434"/>
      <c r="BA60" s="434"/>
      <c r="BB60" s="434"/>
      <c r="BC60" s="434"/>
      <c r="BD60" s="434"/>
      <c r="BE60" s="434"/>
      <c r="BF60" s="434"/>
      <c r="BG60" s="434"/>
      <c r="BH60" s="434"/>
      <c r="BI60" s="434"/>
      <c r="BJ60" s="434"/>
      <c r="BK60" s="434"/>
      <c r="BL60" s="434"/>
      <c r="BM60" s="434"/>
      <c r="BN60" s="434"/>
      <c r="BO60" s="434"/>
      <c r="BP60" s="434"/>
      <c r="BQ60" s="434"/>
      <c r="BR60" s="434"/>
      <c r="BS60" s="434"/>
      <c r="BT60" s="434"/>
      <c r="BU60" s="434"/>
      <c r="BV60" s="434"/>
      <c r="BW60" s="434"/>
      <c r="BX60" s="434"/>
      <c r="BY60" s="434"/>
      <c r="BZ60" s="434"/>
      <c r="CA60" s="434"/>
      <c r="CB60" s="434"/>
      <c r="CC60" s="434"/>
      <c r="CD60" s="434"/>
      <c r="CE60" s="434"/>
      <c r="CF60" s="434"/>
      <c r="CG60" s="434"/>
      <c r="CH60" s="434"/>
      <c r="CI60" s="434"/>
      <c r="CJ60" s="449"/>
      <c r="CK60" s="434"/>
    </row>
    <row r="61" spans="1:89" ht="15.75" customHeight="1">
      <c r="B61" s="2" t="s">
        <v>553</v>
      </c>
      <c r="C61" s="372"/>
      <c r="D61" s="436">
        <f t="shared" ref="D61:D90" si="0">E61-SUM(H61:CK61)</f>
        <v>0</v>
      </c>
      <c r="E61" s="372">
        <v>3.7</v>
      </c>
      <c r="F61" s="437" t="s">
        <v>588</v>
      </c>
      <c r="S61" s="434"/>
      <c r="T61" s="434">
        <v>1.7</v>
      </c>
      <c r="U61" s="434">
        <v>2</v>
      </c>
      <c r="V61" s="434"/>
      <c r="W61" s="434"/>
      <c r="X61" s="434"/>
      <c r="Y61" s="434"/>
      <c r="Z61" s="434"/>
      <c r="AA61" s="434"/>
      <c r="AB61" s="434"/>
      <c r="AC61" s="434"/>
      <c r="AD61" s="570"/>
      <c r="AE61" s="434"/>
      <c r="AF61" s="434"/>
      <c r="AG61" s="434"/>
      <c r="AH61" s="434"/>
      <c r="AI61" s="434"/>
      <c r="AJ61" s="434"/>
      <c r="AK61" s="434"/>
      <c r="AL61" s="434"/>
      <c r="AM61" s="434"/>
      <c r="AN61" s="434"/>
      <c r="AO61" s="434"/>
      <c r="AP61" s="434"/>
      <c r="AQ61" s="434"/>
      <c r="AR61" s="434"/>
      <c r="AS61" s="434"/>
      <c r="AT61" s="434"/>
      <c r="AU61" s="434"/>
      <c r="AV61" s="434"/>
      <c r="AW61" s="434"/>
      <c r="AX61" s="434"/>
      <c r="AY61" s="434"/>
      <c r="AZ61" s="434"/>
      <c r="BA61" s="434"/>
      <c r="BB61" s="434"/>
      <c r="BC61" s="434"/>
      <c r="BD61" s="434"/>
      <c r="BE61" s="434"/>
      <c r="BF61" s="434"/>
      <c r="BG61" s="434"/>
      <c r="BH61" s="434"/>
      <c r="BI61" s="434"/>
      <c r="BJ61" s="434"/>
      <c r="BK61" s="434"/>
      <c r="BL61" s="434"/>
      <c r="BM61" s="434"/>
      <c r="BN61" s="434"/>
      <c r="BO61" s="434"/>
      <c r="BP61" s="434"/>
      <c r="BQ61" s="434"/>
      <c r="BR61" s="434"/>
      <c r="BS61" s="434"/>
      <c r="BT61" s="434"/>
      <c r="BU61" s="434"/>
      <c r="BV61" s="434"/>
      <c r="BW61" s="434"/>
      <c r="BX61" s="434"/>
      <c r="BY61" s="434"/>
      <c r="BZ61" s="434"/>
      <c r="CA61" s="434"/>
      <c r="CB61" s="434"/>
      <c r="CC61" s="434"/>
      <c r="CD61" s="434"/>
      <c r="CE61" s="434"/>
      <c r="CF61" s="434"/>
      <c r="CG61" s="434"/>
      <c r="CH61" s="434"/>
      <c r="CI61" s="434"/>
      <c r="CJ61" s="449"/>
      <c r="CK61" s="434"/>
    </row>
    <row r="62" spans="1:89" ht="15.75" customHeight="1">
      <c r="B62" s="2" t="s">
        <v>554</v>
      </c>
      <c r="C62" s="372"/>
      <c r="D62" s="436">
        <f t="shared" si="0"/>
        <v>0</v>
      </c>
      <c r="E62" s="372">
        <v>4.0999999999999996</v>
      </c>
      <c r="F62" s="437" t="s">
        <v>588</v>
      </c>
      <c r="S62" s="434"/>
      <c r="T62" s="434">
        <v>2</v>
      </c>
      <c r="U62" s="434">
        <v>2.1</v>
      </c>
      <c r="V62" s="434"/>
      <c r="W62" s="434"/>
      <c r="X62" s="434"/>
      <c r="Y62" s="434"/>
      <c r="Z62" s="434"/>
      <c r="AA62" s="434"/>
      <c r="AB62" s="434"/>
      <c r="AC62" s="434"/>
      <c r="AD62" s="570"/>
      <c r="AE62" s="434"/>
      <c r="AF62" s="434"/>
      <c r="AG62" s="434"/>
      <c r="AH62" s="434"/>
      <c r="AI62" s="434"/>
      <c r="AJ62" s="434"/>
      <c r="AK62" s="434"/>
      <c r="AL62" s="434"/>
      <c r="AM62" s="434"/>
      <c r="AN62" s="434"/>
      <c r="AO62" s="434"/>
      <c r="AP62" s="434"/>
      <c r="AQ62" s="434"/>
      <c r="AR62" s="434"/>
      <c r="AS62" s="434"/>
      <c r="AT62" s="434"/>
      <c r="AU62" s="434"/>
      <c r="AV62" s="434"/>
      <c r="AW62" s="434"/>
      <c r="AX62" s="434"/>
      <c r="AY62" s="434"/>
      <c r="AZ62" s="434"/>
      <c r="BA62" s="434"/>
      <c r="BB62" s="434"/>
      <c r="BC62" s="434"/>
      <c r="BD62" s="434"/>
      <c r="BE62" s="434"/>
      <c r="BF62" s="434"/>
      <c r="BG62" s="434"/>
      <c r="BH62" s="434"/>
      <c r="BI62" s="434"/>
      <c r="BJ62" s="434"/>
      <c r="BK62" s="434"/>
      <c r="BL62" s="434"/>
      <c r="BM62" s="434"/>
      <c r="BN62" s="434"/>
      <c r="BO62" s="434"/>
      <c r="BP62" s="434"/>
      <c r="BQ62" s="434"/>
      <c r="BR62" s="434"/>
      <c r="BS62" s="434"/>
      <c r="BT62" s="434"/>
      <c r="BU62" s="434"/>
      <c r="BV62" s="434"/>
      <c r="BW62" s="434"/>
      <c r="BX62" s="434"/>
      <c r="BY62" s="434"/>
      <c r="BZ62" s="434"/>
      <c r="CA62" s="434"/>
      <c r="CB62" s="434"/>
      <c r="CC62" s="434"/>
      <c r="CD62" s="434"/>
      <c r="CE62" s="434"/>
      <c r="CF62" s="434"/>
      <c r="CG62" s="434"/>
      <c r="CH62" s="434"/>
      <c r="CI62" s="434"/>
      <c r="CJ62" s="449"/>
      <c r="CK62" s="434"/>
    </row>
    <row r="63" spans="1:89" ht="15.75" customHeight="1">
      <c r="B63" s="2" t="s">
        <v>573</v>
      </c>
      <c r="C63" s="372"/>
      <c r="D63" s="436">
        <f t="shared" si="0"/>
        <v>0</v>
      </c>
      <c r="E63" s="372">
        <v>2.2000000000000002</v>
      </c>
      <c r="F63" s="437" t="s">
        <v>588</v>
      </c>
      <c r="S63" s="434"/>
      <c r="T63" s="434"/>
      <c r="U63" s="434"/>
      <c r="V63" s="434">
        <v>1.1000000000000001</v>
      </c>
      <c r="W63" s="434"/>
      <c r="X63" s="434"/>
      <c r="Y63" s="434"/>
      <c r="Z63" s="434"/>
      <c r="AA63" s="434"/>
      <c r="AB63" s="434">
        <v>1.1000000000000001</v>
      </c>
      <c r="AC63" s="434"/>
      <c r="AD63" s="570"/>
      <c r="AE63" s="434"/>
      <c r="AF63" s="434"/>
      <c r="AG63" s="434"/>
      <c r="AH63" s="434"/>
      <c r="AI63" s="434"/>
      <c r="AJ63" s="434"/>
      <c r="AK63" s="434"/>
      <c r="AL63" s="434"/>
      <c r="AM63" s="434"/>
      <c r="AN63" s="434"/>
      <c r="AO63" s="434"/>
      <c r="AP63" s="434"/>
      <c r="AQ63" s="434"/>
      <c r="AR63" s="434"/>
      <c r="AS63" s="434"/>
      <c r="AT63" s="434"/>
      <c r="AU63" s="434"/>
      <c r="AV63" s="434"/>
      <c r="AW63" s="434"/>
      <c r="AX63" s="434"/>
      <c r="AY63" s="434"/>
      <c r="AZ63" s="434"/>
      <c r="BA63" s="434"/>
      <c r="BB63" s="434"/>
      <c r="BC63" s="434"/>
      <c r="BD63" s="434"/>
      <c r="BE63" s="434"/>
      <c r="BF63" s="434"/>
      <c r="BG63" s="434"/>
      <c r="BH63" s="434"/>
      <c r="BI63" s="434"/>
      <c r="BJ63" s="434"/>
      <c r="BK63" s="434"/>
      <c r="BL63" s="434"/>
      <c r="BM63" s="434"/>
      <c r="BN63" s="434"/>
      <c r="BO63" s="434"/>
      <c r="BP63" s="434"/>
      <c r="BQ63" s="434"/>
      <c r="BR63" s="434"/>
      <c r="BS63" s="434"/>
      <c r="BT63" s="434"/>
      <c r="BU63" s="434"/>
      <c r="BV63" s="434"/>
      <c r="BW63" s="434"/>
      <c r="BX63" s="434"/>
      <c r="BY63" s="434"/>
      <c r="BZ63" s="434"/>
      <c r="CA63" s="434"/>
      <c r="CB63" s="434"/>
      <c r="CC63" s="434"/>
      <c r="CD63" s="434"/>
      <c r="CE63" s="434"/>
      <c r="CF63" s="434"/>
      <c r="CG63" s="434"/>
      <c r="CH63" s="434"/>
      <c r="CI63" s="434"/>
      <c r="CJ63" s="449"/>
      <c r="CK63" s="434"/>
    </row>
    <row r="64" spans="1:89" ht="15.75" customHeight="1">
      <c r="B64" s="2" t="s">
        <v>579</v>
      </c>
      <c r="C64" s="372"/>
      <c r="D64" s="436">
        <f t="shared" si="0"/>
        <v>0</v>
      </c>
      <c r="E64" s="372">
        <v>13.3</v>
      </c>
      <c r="F64" s="437" t="s">
        <v>588</v>
      </c>
      <c r="S64" s="434"/>
      <c r="T64" s="434">
        <v>2</v>
      </c>
      <c r="U64" s="434">
        <v>2</v>
      </c>
      <c r="V64" s="434">
        <v>2</v>
      </c>
      <c r="W64" s="434">
        <v>2</v>
      </c>
      <c r="X64" s="434">
        <v>2</v>
      </c>
      <c r="Y64" s="434">
        <v>2</v>
      </c>
      <c r="Z64" s="434">
        <v>1.3</v>
      </c>
      <c r="AA64" s="434"/>
      <c r="AB64" s="434"/>
      <c r="AC64" s="434"/>
      <c r="AD64" s="570"/>
      <c r="AE64" s="434"/>
      <c r="AF64" s="434"/>
      <c r="AG64" s="434"/>
      <c r="AH64" s="434"/>
      <c r="AI64" s="434"/>
      <c r="AJ64" s="434"/>
      <c r="AK64" s="434"/>
      <c r="AL64" s="434"/>
      <c r="AM64" s="434"/>
      <c r="AN64" s="434"/>
      <c r="AO64" s="434"/>
      <c r="AP64" s="434"/>
      <c r="AQ64" s="434"/>
      <c r="AR64" s="434"/>
      <c r="AS64" s="434"/>
      <c r="AT64" s="434"/>
      <c r="AU64" s="434"/>
      <c r="AV64" s="434"/>
      <c r="AW64" s="434"/>
      <c r="AX64" s="434"/>
      <c r="AY64" s="434"/>
      <c r="AZ64" s="434"/>
      <c r="BA64" s="434"/>
      <c r="BB64" s="434"/>
      <c r="BC64" s="434"/>
      <c r="BD64" s="434"/>
      <c r="BE64" s="434"/>
      <c r="BF64" s="434"/>
      <c r="BG64" s="434"/>
      <c r="BH64" s="434"/>
      <c r="BI64" s="434"/>
      <c r="BJ64" s="434"/>
      <c r="BK64" s="434"/>
      <c r="BL64" s="434"/>
      <c r="BM64" s="434"/>
      <c r="BN64" s="434"/>
      <c r="BO64" s="434"/>
      <c r="BP64" s="434"/>
      <c r="BQ64" s="434"/>
      <c r="BR64" s="434"/>
      <c r="BS64" s="434"/>
      <c r="BT64" s="434"/>
      <c r="BU64" s="434"/>
      <c r="BV64" s="434"/>
      <c r="BW64" s="434"/>
      <c r="BX64" s="434"/>
      <c r="BY64" s="434"/>
      <c r="BZ64" s="434"/>
      <c r="CA64" s="434"/>
      <c r="CB64" s="434"/>
      <c r="CC64" s="434"/>
      <c r="CD64" s="434"/>
      <c r="CE64" s="434"/>
      <c r="CF64" s="434"/>
      <c r="CG64" s="434"/>
      <c r="CH64" s="434"/>
      <c r="CI64" s="434"/>
      <c r="CJ64" s="449"/>
      <c r="CK64" s="434"/>
    </row>
    <row r="65" spans="2:90" ht="15.75" customHeight="1">
      <c r="B65" s="2" t="s">
        <v>572</v>
      </c>
      <c r="C65" s="372"/>
      <c r="D65" s="436">
        <f t="shared" si="0"/>
        <v>0</v>
      </c>
      <c r="E65" s="372">
        <v>6.1</v>
      </c>
      <c r="F65" s="437" t="s">
        <v>588</v>
      </c>
      <c r="S65" s="434"/>
      <c r="T65" s="434"/>
      <c r="U65" s="434"/>
      <c r="V65" s="434"/>
      <c r="W65" s="434"/>
      <c r="X65" s="434"/>
      <c r="Y65" s="434">
        <v>2</v>
      </c>
      <c r="Z65" s="434">
        <v>2</v>
      </c>
      <c r="AA65" s="434">
        <v>2.1</v>
      </c>
      <c r="AB65" s="434"/>
      <c r="AC65" s="434"/>
      <c r="AD65" s="570"/>
      <c r="AE65" s="434"/>
      <c r="AF65" s="434"/>
      <c r="AG65" s="434"/>
      <c r="AH65" s="434"/>
      <c r="AI65" s="434"/>
      <c r="AJ65" s="434"/>
      <c r="AK65" s="434"/>
      <c r="AL65" s="434"/>
      <c r="AM65" s="434"/>
      <c r="AN65" s="434"/>
      <c r="AO65" s="434"/>
      <c r="AP65" s="434"/>
      <c r="AQ65" s="434"/>
      <c r="AR65" s="434"/>
      <c r="AS65" s="434"/>
      <c r="AT65" s="434"/>
      <c r="AU65" s="434"/>
      <c r="AV65" s="434"/>
      <c r="AW65" s="434"/>
      <c r="AX65" s="434"/>
      <c r="AY65" s="434"/>
      <c r="AZ65" s="434"/>
      <c r="BA65" s="434"/>
      <c r="BB65" s="434"/>
      <c r="BC65" s="434"/>
      <c r="BD65" s="434"/>
      <c r="BE65" s="434"/>
      <c r="BF65" s="434"/>
      <c r="BG65" s="434"/>
      <c r="BH65" s="434"/>
      <c r="BI65" s="434"/>
      <c r="BJ65" s="434"/>
      <c r="BK65" s="434"/>
      <c r="BL65" s="434"/>
      <c r="BM65" s="434"/>
      <c r="BN65" s="434"/>
      <c r="BO65" s="434"/>
      <c r="BP65" s="434"/>
      <c r="BQ65" s="434"/>
      <c r="BR65" s="434"/>
      <c r="BS65" s="434"/>
      <c r="BT65" s="434"/>
      <c r="BU65" s="434"/>
      <c r="BV65" s="434"/>
      <c r="BW65" s="434"/>
      <c r="BX65" s="434"/>
      <c r="BY65" s="434"/>
      <c r="BZ65" s="434"/>
      <c r="CA65" s="434"/>
      <c r="CB65" s="434"/>
      <c r="CC65" s="434"/>
      <c r="CD65" s="434"/>
      <c r="CE65" s="434"/>
      <c r="CF65" s="434"/>
      <c r="CG65" s="434"/>
      <c r="CH65" s="434"/>
      <c r="CI65" s="434"/>
      <c r="CJ65" s="449"/>
      <c r="CK65" s="434"/>
    </row>
    <row r="66" spans="2:90" ht="15.75" customHeight="1">
      <c r="B66" s="2" t="s">
        <v>555</v>
      </c>
      <c r="C66" s="372"/>
      <c r="D66" s="436">
        <f>E66-SUM(H66:CHJ66)</f>
        <v>1.8571428571434012E-2</v>
      </c>
      <c r="E66" s="372">
        <v>5.8</v>
      </c>
      <c r="F66" s="437" t="s">
        <v>588</v>
      </c>
      <c r="R66" s="434">
        <f>$E66*'4. Dev Phasing'!P$7/'4. Dev Phasing'!$C$7</f>
        <v>0</v>
      </c>
      <c r="S66" s="434">
        <v>0.1</v>
      </c>
      <c r="T66" s="434">
        <f>$E66*'4. Dev Phasing'!R$7/'4. Dev Phasing'!$C$7</f>
        <v>8.2857142857142851E-2</v>
      </c>
      <c r="U66" s="434">
        <f>$E66*'4. Dev Phasing'!S$7/'4. Dev Phasing'!$C$7</f>
        <v>8.2857142857142851E-2</v>
      </c>
      <c r="V66" s="434"/>
      <c r="W66" s="434">
        <v>1</v>
      </c>
      <c r="X66" s="434">
        <f>$E66*'4. Dev Phasing'!V$7/'4. Dev Phasing'!$C$7</f>
        <v>8.2857142857142851E-2</v>
      </c>
      <c r="Y66" s="434">
        <f>$E66*'4. Dev Phasing'!W$7/'4. Dev Phasing'!$C$7</f>
        <v>8.2857142857142851E-2</v>
      </c>
      <c r="Z66" s="434">
        <f>$E66*'4. Dev Phasing'!X$7/'4. Dev Phasing'!$C$7</f>
        <v>8.2857142857142851E-2</v>
      </c>
      <c r="AA66" s="434"/>
      <c r="AB66" s="434">
        <f>$E66*'4. Dev Phasing'!Z$7/'4. Dev Phasing'!$C$7</f>
        <v>8.2857142857142851E-2</v>
      </c>
      <c r="AC66" s="434">
        <f>$E66*'4. Dev Phasing'!AA$7/'4. Dev Phasing'!$C$7</f>
        <v>8.2857142857142851E-2</v>
      </c>
      <c r="AD66" s="570">
        <f>$E66*'4. Dev Phasing'!AB$7/'4. Dev Phasing'!$C$7</f>
        <v>8.2857142857142851E-2</v>
      </c>
      <c r="AE66" s="434">
        <f>$E66*'4. Dev Phasing'!AC$7/'4. Dev Phasing'!$C$7</f>
        <v>8.2857142857142851E-2</v>
      </c>
      <c r="AF66" s="434"/>
      <c r="AG66" s="434">
        <f>$E66*'4. Dev Phasing'!AE$7/'4. Dev Phasing'!$C$7</f>
        <v>8.2857142857142851E-2</v>
      </c>
      <c r="AH66" s="434">
        <f>$E66*'4. Dev Phasing'!AF$7/'4. Dev Phasing'!$C$7</f>
        <v>8.2857142857142851E-2</v>
      </c>
      <c r="AI66" s="434">
        <f>$E66*'4. Dev Phasing'!AG$7/'4. Dev Phasing'!$C$7</f>
        <v>8.2857142857142851E-2</v>
      </c>
      <c r="AJ66" s="434"/>
      <c r="AK66" s="434">
        <f>$E66*'4. Dev Phasing'!AI$7/'4. Dev Phasing'!$C$7</f>
        <v>8.2857142857142851E-2</v>
      </c>
      <c r="AL66" s="434">
        <f>$E66*'4. Dev Phasing'!AJ$7/'4. Dev Phasing'!$C$7</f>
        <v>8.2857142857142851E-2</v>
      </c>
      <c r="AM66" s="434">
        <f>$E66*'4. Dev Phasing'!AK$7/'4. Dev Phasing'!$C$7</f>
        <v>8.2857142857142851E-2</v>
      </c>
      <c r="AN66" s="434"/>
      <c r="AO66" s="434">
        <f>$E66*'4. Dev Phasing'!AM$7/'4. Dev Phasing'!$C$7</f>
        <v>8.2857142857142851E-2</v>
      </c>
      <c r="AP66" s="434">
        <f>$E66*'4. Dev Phasing'!AN$7/'4. Dev Phasing'!$C$7</f>
        <v>8.2857142857142851E-2</v>
      </c>
      <c r="AQ66" s="434">
        <f>$E66*'4. Dev Phasing'!AO$7/'4. Dev Phasing'!$C$7</f>
        <v>8.2857142857142851E-2</v>
      </c>
      <c r="AR66" s="434"/>
      <c r="AS66" s="434">
        <f>$E66*'4. Dev Phasing'!AQ$7/'4. Dev Phasing'!$C$7</f>
        <v>8.2857142857142851E-2</v>
      </c>
      <c r="AT66" s="434">
        <f>$E66*'4. Dev Phasing'!AR$7/'4. Dev Phasing'!$C$7</f>
        <v>8.2857142857142851E-2</v>
      </c>
      <c r="AU66" s="434">
        <f>$E66*'4. Dev Phasing'!AS$7/'4. Dev Phasing'!$C$7</f>
        <v>8.2857142857142851E-2</v>
      </c>
      <c r="AV66" s="434"/>
      <c r="AW66" s="434">
        <f>$E66*'4. Dev Phasing'!AU$7/'4. Dev Phasing'!$C$7</f>
        <v>8.2857142857142851E-2</v>
      </c>
      <c r="AX66" s="434">
        <f>$E66*'4. Dev Phasing'!AV$7/'4. Dev Phasing'!$C$7</f>
        <v>8.2857142857142851E-2</v>
      </c>
      <c r="AY66" s="434">
        <f>$E66*'4. Dev Phasing'!AW$7/'4. Dev Phasing'!$C$7</f>
        <v>8.2857142857142851E-2</v>
      </c>
      <c r="AZ66" s="434"/>
      <c r="BA66" s="434">
        <f>$E66*'4. Dev Phasing'!AY$7/'4. Dev Phasing'!$C$7</f>
        <v>8.2857142857142851E-2</v>
      </c>
      <c r="BB66" s="434">
        <f>$E66*'4. Dev Phasing'!AZ$7/'4. Dev Phasing'!$C$7</f>
        <v>8.2857142857142851E-2</v>
      </c>
      <c r="BC66" s="434">
        <f>$E66*'4. Dev Phasing'!BA$7/'4. Dev Phasing'!$C$7</f>
        <v>8.2857142857142851E-2</v>
      </c>
      <c r="BD66" s="434"/>
      <c r="BE66" s="434">
        <f>$E66*'4. Dev Phasing'!BC$7/'4. Dev Phasing'!$C$7</f>
        <v>8.2857142857142851E-2</v>
      </c>
      <c r="BF66" s="434">
        <f>$E66*'4. Dev Phasing'!BD$7/'4. Dev Phasing'!$C$7</f>
        <v>8.2857142857142851E-2</v>
      </c>
      <c r="BG66" s="434">
        <f>$E66*'4. Dev Phasing'!BE$7/'4. Dev Phasing'!$C$7</f>
        <v>8.2857142857142851E-2</v>
      </c>
      <c r="BH66" s="434"/>
      <c r="BI66" s="434">
        <f>$E66*'4. Dev Phasing'!BG$7/'4. Dev Phasing'!$C$7</f>
        <v>8.2857142857142851E-2</v>
      </c>
      <c r="BJ66" s="434">
        <f>$E66*'4. Dev Phasing'!BH$7/'4. Dev Phasing'!$C$7</f>
        <v>8.2857142857142851E-2</v>
      </c>
      <c r="BK66" s="434">
        <f>$E66*'4. Dev Phasing'!BI$7/'4. Dev Phasing'!$C$7</f>
        <v>8.2857142857142851E-2</v>
      </c>
      <c r="BL66" s="434"/>
      <c r="BM66" s="434">
        <f>$E66*'4. Dev Phasing'!BK$7/'4. Dev Phasing'!$C$7</f>
        <v>8.2857142857142851E-2</v>
      </c>
      <c r="BN66" s="434">
        <f>$E66*'4. Dev Phasing'!BL$7/'4. Dev Phasing'!$C$7</f>
        <v>8.2857142857142851E-2</v>
      </c>
      <c r="BO66" s="434">
        <f>$E66*'4. Dev Phasing'!BM$7/'4. Dev Phasing'!$C$7</f>
        <v>8.2857142857142851E-2</v>
      </c>
      <c r="BP66" s="434"/>
      <c r="BQ66" s="434">
        <f>$E66*'4. Dev Phasing'!BO$7/'4. Dev Phasing'!$C$7</f>
        <v>8.2857142857142851E-2</v>
      </c>
      <c r="BR66" s="434">
        <f>$E66*'4. Dev Phasing'!BP$7/'4. Dev Phasing'!$C$7</f>
        <v>8.2857142857142851E-2</v>
      </c>
      <c r="BS66" s="434">
        <f>$E66*'4. Dev Phasing'!BQ$7/'4. Dev Phasing'!$C$7</f>
        <v>8.2857142857142851E-2</v>
      </c>
      <c r="BT66" s="434">
        <f>$E66*'4. Dev Phasing'!BR$7/'4. Dev Phasing'!$C$7</f>
        <v>8.2857142857142851E-2</v>
      </c>
      <c r="BU66" s="434">
        <f>$E66*'4. Dev Phasing'!BS$7/'4. Dev Phasing'!$C$7</f>
        <v>8.2857142857142851E-2</v>
      </c>
      <c r="BV66" s="434">
        <f>$E66*'4. Dev Phasing'!BT$7/'4. Dev Phasing'!$C$7</f>
        <v>8.2857142857142851E-2</v>
      </c>
      <c r="BW66" s="434">
        <f>$E66*'4. Dev Phasing'!BU$7/'4. Dev Phasing'!$C$7</f>
        <v>8.2857142857142851E-2</v>
      </c>
      <c r="BX66" s="434">
        <f>$E66*'4. Dev Phasing'!BV$7/'4. Dev Phasing'!$C$7</f>
        <v>8.2857142857142851E-2</v>
      </c>
      <c r="BY66" s="434">
        <f>$E66*'4. Dev Phasing'!BW$7/'4. Dev Phasing'!$C$7</f>
        <v>8.2857142857142851E-2</v>
      </c>
      <c r="BZ66" s="434">
        <f>$E66*'4. Dev Phasing'!BX$7/'4. Dev Phasing'!$C$7</f>
        <v>8.2857142857142851E-2</v>
      </c>
      <c r="CA66" s="434">
        <f>$E66*'4. Dev Phasing'!BY$7/'4. Dev Phasing'!$C$7</f>
        <v>8.2857142857142851E-2</v>
      </c>
      <c r="CB66" s="434">
        <f>$E66*'4. Dev Phasing'!BZ$7/'4. Dev Phasing'!$C$7</f>
        <v>8.2857142857142851E-2</v>
      </c>
      <c r="CC66" s="434">
        <f>$E66*'4. Dev Phasing'!CA$7/'4. Dev Phasing'!$C$7</f>
        <v>8.2857142857142851E-2</v>
      </c>
      <c r="CD66" s="434">
        <f>$E66*'4. Dev Phasing'!CB$7/'4. Dev Phasing'!$C$7</f>
        <v>8.2857142857142851E-2</v>
      </c>
      <c r="CE66" s="434">
        <f>$E66*'4. Dev Phasing'!CC$7/'4. Dev Phasing'!$C$7</f>
        <v>8.2857142857142851E-2</v>
      </c>
      <c r="CF66" s="434">
        <f>$E66*'4. Dev Phasing'!CD$7/'4. Dev Phasing'!$C$7</f>
        <v>8.2857142857142851E-2</v>
      </c>
      <c r="CG66" s="434">
        <f>$E66*'4. Dev Phasing'!CE$7/'4. Dev Phasing'!$C$7</f>
        <v>8.2857142857142851E-2</v>
      </c>
      <c r="CH66" s="434">
        <f>$E66*'4. Dev Phasing'!CF$7/'4. Dev Phasing'!$C$7</f>
        <v>8.2857142857142851E-2</v>
      </c>
      <c r="CI66" s="434">
        <f>$E66*'4. Dev Phasing'!CG$7/'4. Dev Phasing'!$C$7</f>
        <v>8.2857142857142851E-2</v>
      </c>
      <c r="CJ66" s="449">
        <f>$E66*'4. Dev Phasing'!CH$7/'4. Dev Phasing'!$C$7</f>
        <v>8.2857142857142851E-2</v>
      </c>
      <c r="CK66" s="434">
        <f>$E66*'4. Dev Phasing'!CI$7/'4. Dev Phasing'!$C$7</f>
        <v>4.1428571428571426E-2</v>
      </c>
    </row>
    <row r="67" spans="2:90" ht="15.75" customHeight="1">
      <c r="B67" s="2" t="s">
        <v>556</v>
      </c>
      <c r="C67" s="372">
        <v>248.85</v>
      </c>
      <c r="D67" s="436">
        <f t="shared" si="0"/>
        <v>0</v>
      </c>
      <c r="E67" s="372">
        <v>25.8</v>
      </c>
      <c r="F67" s="437" t="s">
        <v>585</v>
      </c>
      <c r="T67" s="2">
        <v>5</v>
      </c>
      <c r="W67" s="2">
        <v>5</v>
      </c>
      <c r="Z67" s="2">
        <v>5</v>
      </c>
      <c r="AC67" s="2">
        <v>5</v>
      </c>
      <c r="AG67" s="2">
        <v>5.8</v>
      </c>
    </row>
    <row r="68" spans="2:90" ht="15.75" customHeight="1">
      <c r="B68" s="2" t="s">
        <v>557</v>
      </c>
      <c r="C68" s="372"/>
      <c r="D68" s="436">
        <f t="shared" si="0"/>
        <v>0</v>
      </c>
      <c r="E68" s="372">
        <v>30.2</v>
      </c>
      <c r="F68" s="437" t="s">
        <v>585</v>
      </c>
      <c r="G68" s="437" t="s">
        <v>653</v>
      </c>
      <c r="V68" s="2">
        <v>12</v>
      </c>
      <c r="AE68" s="2">
        <v>2.1</v>
      </c>
      <c r="AH68" s="2">
        <v>2.1</v>
      </c>
      <c r="AY68" s="2">
        <v>12</v>
      </c>
      <c r="BR68" s="2">
        <v>2</v>
      </c>
    </row>
    <row r="69" spans="2:90" ht="15.75" customHeight="1">
      <c r="B69" s="2" t="s">
        <v>558</v>
      </c>
      <c r="C69" s="372"/>
      <c r="D69" s="436">
        <f t="shared" si="0"/>
        <v>0</v>
      </c>
      <c r="E69" s="372">
        <f>IF(G69=1,41.3,0)</f>
        <v>0</v>
      </c>
      <c r="F69" s="437" t="s">
        <v>585</v>
      </c>
      <c r="G69" s="409">
        <v>0</v>
      </c>
      <c r="S69" s="2">
        <f>IF($G69=1,20,0)</f>
        <v>0</v>
      </c>
      <c r="T69" s="2">
        <f>IF($G69=1,21.3,0)</f>
        <v>0</v>
      </c>
    </row>
    <row r="70" spans="2:90" ht="15.75" customHeight="1">
      <c r="B70" s="2" t="s">
        <v>571</v>
      </c>
      <c r="C70" s="372"/>
      <c r="D70" s="436">
        <f t="shared" si="0"/>
        <v>0</v>
      </c>
      <c r="E70" s="372">
        <f>IF(G70=1,62.1,0)</f>
        <v>0</v>
      </c>
      <c r="F70" s="437" t="s">
        <v>585</v>
      </c>
      <c r="G70" s="409">
        <v>0</v>
      </c>
      <c r="S70" s="2">
        <f>IF($G70=1,20,0)</f>
        <v>0</v>
      </c>
      <c r="T70" s="2">
        <f>IF($G70=1,20,0)</f>
        <v>0</v>
      </c>
      <c r="U70" s="2">
        <f>IF($G70=1,22.1,0)</f>
        <v>0</v>
      </c>
    </row>
    <row r="71" spans="2:90" ht="15.75" customHeight="1">
      <c r="B71" s="2" t="s">
        <v>580</v>
      </c>
      <c r="C71" s="373"/>
      <c r="D71" s="436">
        <f t="shared" si="0"/>
        <v>0</v>
      </c>
      <c r="E71" s="372">
        <f>IF(G71=1,20.9,0)</f>
        <v>0</v>
      </c>
      <c r="F71" s="437" t="s">
        <v>585</v>
      </c>
      <c r="G71" s="409">
        <v>0</v>
      </c>
      <c r="U71" s="2">
        <f>IF($G71=1,20.9,0)</f>
        <v>0</v>
      </c>
    </row>
    <row r="72" spans="2:90" ht="15.75" customHeight="1">
      <c r="B72" s="2" t="s">
        <v>559</v>
      </c>
      <c r="C72" s="373"/>
      <c r="D72" s="436">
        <f t="shared" si="0"/>
        <v>0</v>
      </c>
      <c r="E72" s="372">
        <v>26.6</v>
      </c>
      <c r="F72" s="437" t="s">
        <v>585</v>
      </c>
      <c r="T72" s="2">
        <v>2.9</v>
      </c>
      <c r="U72" s="2">
        <v>2.9</v>
      </c>
      <c r="V72" s="2">
        <v>2.9</v>
      </c>
      <c r="W72" s="2">
        <v>2.9</v>
      </c>
      <c r="Y72" s="2">
        <v>3</v>
      </c>
      <c r="AB72" s="2">
        <v>3</v>
      </c>
      <c r="AE72" s="2">
        <v>3</v>
      </c>
      <c r="AK72" s="439">
        <v>3</v>
      </c>
      <c r="AN72" s="439">
        <v>3</v>
      </c>
    </row>
    <row r="73" spans="2:90" ht="15.75" customHeight="1">
      <c r="B73" s="2" t="s">
        <v>560</v>
      </c>
      <c r="C73" s="373"/>
      <c r="D73" s="436">
        <f t="shared" si="0"/>
        <v>0</v>
      </c>
      <c r="E73" s="372">
        <v>32.4</v>
      </c>
      <c r="F73" s="437" t="s">
        <v>585</v>
      </c>
      <c r="T73" s="2">
        <v>2.6</v>
      </c>
      <c r="U73" s="2">
        <v>2.6</v>
      </c>
      <c r="V73" s="2">
        <v>2.8</v>
      </c>
      <c r="W73" s="2">
        <v>2.8</v>
      </c>
      <c r="Y73" s="2">
        <v>3.6</v>
      </c>
      <c r="AB73" s="2">
        <v>3.6</v>
      </c>
      <c r="AE73" s="2">
        <v>3.6</v>
      </c>
      <c r="AH73" s="2">
        <v>3.6</v>
      </c>
      <c r="AK73" s="439">
        <v>3.6</v>
      </c>
      <c r="AN73" s="439">
        <v>3.6</v>
      </c>
    </row>
    <row r="74" spans="2:90" ht="15.75" customHeight="1">
      <c r="B74" s="2" t="s">
        <v>561</v>
      </c>
      <c r="C74" s="373"/>
      <c r="D74" s="436">
        <f t="shared" si="0"/>
        <v>0</v>
      </c>
      <c r="E74" s="372">
        <v>6</v>
      </c>
      <c r="F74" s="437" t="s">
        <v>585</v>
      </c>
      <c r="V74" s="440">
        <v>3</v>
      </c>
      <c r="W74" s="440"/>
      <c r="AH74" s="2">
        <v>3</v>
      </c>
    </row>
    <row r="75" spans="2:90" ht="15.75" customHeight="1">
      <c r="B75" s="2" t="s">
        <v>562</v>
      </c>
      <c r="C75" s="373"/>
      <c r="D75" s="436">
        <f t="shared" si="0"/>
        <v>0</v>
      </c>
      <c r="E75" s="372">
        <v>3.1</v>
      </c>
      <c r="F75" s="437" t="s">
        <v>585</v>
      </c>
      <c r="S75" s="2">
        <v>2.1</v>
      </c>
      <c r="AD75" s="313">
        <v>0.2</v>
      </c>
      <c r="AM75" s="2">
        <v>0.2</v>
      </c>
      <c r="AX75" s="2">
        <v>0.2</v>
      </c>
      <c r="BG75" s="2">
        <f>0.2+0.2</f>
        <v>0.4</v>
      </c>
    </row>
    <row r="76" spans="2:90" ht="15.75" customHeight="1">
      <c r="B76" s="2" t="s">
        <v>682</v>
      </c>
      <c r="C76" s="373"/>
      <c r="D76" s="436">
        <f t="shared" si="0"/>
        <v>3.1974423109204508E-14</v>
      </c>
      <c r="E76" s="374">
        <v>31.5</v>
      </c>
      <c r="F76" s="437" t="s">
        <v>585</v>
      </c>
      <c r="Q76" s="434">
        <f>$E76*'4. Dev Phasing'!O$7/'4. Dev Phasing'!$C$7</f>
        <v>0</v>
      </c>
      <c r="R76" s="434">
        <f>$E76*'4. Dev Phasing'!P$7/'4. Dev Phasing'!$C$7</f>
        <v>0</v>
      </c>
      <c r="S76" s="434">
        <f>$E76*'4. Dev Phasing'!Q$7/'4. Dev Phasing'!$C$7</f>
        <v>0.22500000000000001</v>
      </c>
      <c r="T76" s="434">
        <f>$E76*'4. Dev Phasing'!R$7/'4. Dev Phasing'!$C$7</f>
        <v>0.45</v>
      </c>
      <c r="U76" s="434">
        <f>$E76*'4. Dev Phasing'!S$7/'4. Dev Phasing'!$C$7</f>
        <v>0.45</v>
      </c>
      <c r="V76" s="434">
        <f>$E76*'4. Dev Phasing'!T$7/'4. Dev Phasing'!$C$7</f>
        <v>0.45</v>
      </c>
      <c r="W76" s="434">
        <f>$E76*'4. Dev Phasing'!U$7/'4. Dev Phasing'!$C$7</f>
        <v>0.45</v>
      </c>
      <c r="X76" s="434">
        <f>$E76*'4. Dev Phasing'!V$7/'4. Dev Phasing'!$C$7</f>
        <v>0.45</v>
      </c>
      <c r="Y76" s="434">
        <f>$E76*'4. Dev Phasing'!W$7/'4. Dev Phasing'!$C$7</f>
        <v>0.45</v>
      </c>
      <c r="Z76" s="434">
        <f>$E76*'4. Dev Phasing'!X$7/'4. Dev Phasing'!$C$7</f>
        <v>0.45</v>
      </c>
      <c r="AA76" s="434">
        <f>$E76*'4. Dev Phasing'!Y$7/'4. Dev Phasing'!$C$7</f>
        <v>0.45</v>
      </c>
      <c r="AB76" s="434">
        <f>$E76*'4. Dev Phasing'!Z$7/'4. Dev Phasing'!$C$7</f>
        <v>0.45</v>
      </c>
      <c r="AC76" s="434">
        <f>$E76*'4. Dev Phasing'!AA$7/'4. Dev Phasing'!$C$7</f>
        <v>0.45</v>
      </c>
      <c r="AD76" s="570">
        <f>$E76*'4. Dev Phasing'!AB$7/'4. Dev Phasing'!$C$7</f>
        <v>0.45</v>
      </c>
      <c r="AE76" s="434">
        <f>$E76*'4. Dev Phasing'!AC$7/'4. Dev Phasing'!$C$7</f>
        <v>0.45</v>
      </c>
      <c r="AF76" s="434">
        <f>$E76*'4. Dev Phasing'!AD$7/'4. Dev Phasing'!$C$7</f>
        <v>0.45</v>
      </c>
      <c r="AG76" s="434">
        <f>$E76*'4. Dev Phasing'!AE$7/'4. Dev Phasing'!$C$7</f>
        <v>0.45</v>
      </c>
      <c r="AH76" s="434">
        <f>$E76*'4. Dev Phasing'!AF$7/'4. Dev Phasing'!$C$7</f>
        <v>0.45</v>
      </c>
      <c r="AI76" s="434">
        <f>$E76*'4. Dev Phasing'!AG$7/'4. Dev Phasing'!$C$7</f>
        <v>0.45</v>
      </c>
      <c r="AJ76" s="434">
        <f>$E76*'4. Dev Phasing'!AH$7/'4. Dev Phasing'!$C$7</f>
        <v>0.45</v>
      </c>
      <c r="AK76" s="434">
        <f>$E76*'4. Dev Phasing'!AI$7/'4. Dev Phasing'!$C$7</f>
        <v>0.45</v>
      </c>
      <c r="AL76" s="434">
        <f>$E76*'4. Dev Phasing'!AJ$7/'4. Dev Phasing'!$C$7</f>
        <v>0.45</v>
      </c>
      <c r="AM76" s="434">
        <f>$E76*'4. Dev Phasing'!AK$7/'4. Dev Phasing'!$C$7</f>
        <v>0.45</v>
      </c>
      <c r="AN76" s="434">
        <f>$E76*'4. Dev Phasing'!AL$7/'4. Dev Phasing'!$C$7</f>
        <v>0.45</v>
      </c>
      <c r="AO76" s="434">
        <f>$E76*'4. Dev Phasing'!AM$7/'4. Dev Phasing'!$C$7</f>
        <v>0.45</v>
      </c>
      <c r="AP76" s="434">
        <f>$E76*'4. Dev Phasing'!AN$7/'4. Dev Phasing'!$C$7</f>
        <v>0.45</v>
      </c>
      <c r="AQ76" s="434">
        <f>$E76*'4. Dev Phasing'!AO$7/'4. Dev Phasing'!$C$7</f>
        <v>0.45</v>
      </c>
      <c r="AR76" s="434">
        <f>$E76*'4. Dev Phasing'!AP$7/'4. Dev Phasing'!$C$7</f>
        <v>0.45</v>
      </c>
      <c r="AS76" s="434">
        <f>$E76*'4. Dev Phasing'!AQ$7/'4. Dev Phasing'!$C$7</f>
        <v>0.45</v>
      </c>
      <c r="AT76" s="434">
        <f>$E76*'4. Dev Phasing'!AR$7/'4. Dev Phasing'!$C$7</f>
        <v>0.45</v>
      </c>
      <c r="AU76" s="434">
        <f>$E76*'4. Dev Phasing'!AS$7/'4. Dev Phasing'!$C$7</f>
        <v>0.45</v>
      </c>
      <c r="AV76" s="434">
        <f>$E76*'4. Dev Phasing'!AT$7/'4. Dev Phasing'!$C$7</f>
        <v>0.45</v>
      </c>
      <c r="AW76" s="434">
        <f>$E76*'4. Dev Phasing'!AU$7/'4. Dev Phasing'!$C$7</f>
        <v>0.45</v>
      </c>
      <c r="AX76" s="434">
        <f>$E76*'4. Dev Phasing'!AV$7/'4. Dev Phasing'!$C$7</f>
        <v>0.45</v>
      </c>
      <c r="AY76" s="434">
        <f>$E76*'4. Dev Phasing'!AW$7/'4. Dev Phasing'!$C$7</f>
        <v>0.45</v>
      </c>
      <c r="AZ76" s="434">
        <f>$E76*'4. Dev Phasing'!AX$7/'4. Dev Phasing'!$C$7</f>
        <v>0.45</v>
      </c>
      <c r="BA76" s="434">
        <f>$E76*'4. Dev Phasing'!AY$7/'4. Dev Phasing'!$C$7</f>
        <v>0.45</v>
      </c>
      <c r="BB76" s="434">
        <f>$E76*'4. Dev Phasing'!AZ$7/'4. Dev Phasing'!$C$7</f>
        <v>0.45</v>
      </c>
      <c r="BC76" s="434">
        <f>$E76*'4. Dev Phasing'!BA$7/'4. Dev Phasing'!$C$7</f>
        <v>0.45</v>
      </c>
      <c r="BD76" s="434">
        <f>$E76*'4. Dev Phasing'!BB$7/'4. Dev Phasing'!$C$7</f>
        <v>0.45</v>
      </c>
      <c r="BE76" s="434">
        <f>$E76*'4. Dev Phasing'!BC$7/'4. Dev Phasing'!$C$7</f>
        <v>0.45</v>
      </c>
      <c r="BF76" s="434">
        <f>$E76*'4. Dev Phasing'!BD$7/'4. Dev Phasing'!$C$7</f>
        <v>0.45</v>
      </c>
      <c r="BG76" s="434">
        <f>$E76*'4. Dev Phasing'!BE$7/'4. Dev Phasing'!$C$7</f>
        <v>0.45</v>
      </c>
      <c r="BH76" s="434">
        <f>$E76*'4. Dev Phasing'!BF$7/'4. Dev Phasing'!$C$7</f>
        <v>0.45</v>
      </c>
      <c r="BI76" s="434">
        <f>$E76*'4. Dev Phasing'!BG$7/'4. Dev Phasing'!$C$7</f>
        <v>0.45</v>
      </c>
      <c r="BJ76" s="434">
        <f>$E76*'4. Dev Phasing'!BH$7/'4. Dev Phasing'!$C$7</f>
        <v>0.45</v>
      </c>
      <c r="BK76" s="434">
        <f>$E76*'4. Dev Phasing'!BI$7/'4. Dev Phasing'!$C$7</f>
        <v>0.45</v>
      </c>
      <c r="BL76" s="434">
        <f>$E76*'4. Dev Phasing'!BJ$7/'4. Dev Phasing'!$C$7</f>
        <v>0.45</v>
      </c>
      <c r="BM76" s="434">
        <f>$E76*'4. Dev Phasing'!BK$7/'4. Dev Phasing'!$C$7</f>
        <v>0.45</v>
      </c>
      <c r="BN76" s="434">
        <f>$E76*'4. Dev Phasing'!BL$7/'4. Dev Phasing'!$C$7</f>
        <v>0.45</v>
      </c>
      <c r="BO76" s="434">
        <f>$E76*'4. Dev Phasing'!BM$7/'4. Dev Phasing'!$C$7</f>
        <v>0.45</v>
      </c>
      <c r="BP76" s="434">
        <f>$E76*'4. Dev Phasing'!BN$7/'4. Dev Phasing'!$C$7</f>
        <v>0.45</v>
      </c>
      <c r="BQ76" s="434">
        <f>$E76*'4. Dev Phasing'!BO$7/'4. Dev Phasing'!$C$7</f>
        <v>0.45</v>
      </c>
      <c r="BR76" s="434">
        <f>$E76*'4. Dev Phasing'!BP$7/'4. Dev Phasing'!$C$7</f>
        <v>0.45</v>
      </c>
      <c r="BS76" s="434">
        <f>$E76*'4. Dev Phasing'!BQ$7/'4. Dev Phasing'!$C$7</f>
        <v>0.45</v>
      </c>
      <c r="BT76" s="434">
        <f>$E76*'4. Dev Phasing'!BR$7/'4. Dev Phasing'!$C$7</f>
        <v>0.45</v>
      </c>
      <c r="BU76" s="434">
        <f>$E76*'4. Dev Phasing'!BS$7/'4. Dev Phasing'!$C$7</f>
        <v>0.45</v>
      </c>
      <c r="BV76" s="434">
        <f>$E76*'4. Dev Phasing'!BT$7/'4. Dev Phasing'!$C$7</f>
        <v>0.45</v>
      </c>
      <c r="BW76" s="434">
        <f>$E76*'4. Dev Phasing'!BU$7/'4. Dev Phasing'!$C$7</f>
        <v>0.45</v>
      </c>
      <c r="BX76" s="434">
        <f>$E76*'4. Dev Phasing'!BV$7/'4. Dev Phasing'!$C$7</f>
        <v>0.45</v>
      </c>
      <c r="BY76" s="434">
        <f>$E76*'4. Dev Phasing'!BW$7/'4. Dev Phasing'!$C$7</f>
        <v>0.45</v>
      </c>
      <c r="BZ76" s="434">
        <f>$E76*'4. Dev Phasing'!BX$7/'4. Dev Phasing'!$C$7</f>
        <v>0.45</v>
      </c>
      <c r="CA76" s="434">
        <f>$E76*'4. Dev Phasing'!BY$7/'4. Dev Phasing'!$C$7</f>
        <v>0.45</v>
      </c>
      <c r="CB76" s="434">
        <f>$E76*'4. Dev Phasing'!BZ$7/'4. Dev Phasing'!$C$7</f>
        <v>0.45</v>
      </c>
      <c r="CC76" s="434">
        <f>$E76*'4. Dev Phasing'!CA$7/'4. Dev Phasing'!$C$7</f>
        <v>0.45</v>
      </c>
      <c r="CD76" s="434">
        <f>$E76*'4. Dev Phasing'!CB$7/'4. Dev Phasing'!$C$7</f>
        <v>0.45</v>
      </c>
      <c r="CE76" s="434">
        <f>$E76*'4. Dev Phasing'!CC$7/'4. Dev Phasing'!$C$7</f>
        <v>0.45</v>
      </c>
      <c r="CF76" s="434">
        <f>$E76*'4. Dev Phasing'!CD$7/'4. Dev Phasing'!$C$7</f>
        <v>0.45</v>
      </c>
      <c r="CG76" s="434">
        <f>$E76*'4. Dev Phasing'!CE$7/'4. Dev Phasing'!$C$7</f>
        <v>0.45</v>
      </c>
      <c r="CH76" s="434">
        <f>$E76*'4. Dev Phasing'!CF$7/'4. Dev Phasing'!$C$7</f>
        <v>0.45</v>
      </c>
      <c r="CI76" s="434">
        <f>$E76*'4. Dev Phasing'!CG$7/'4. Dev Phasing'!$C$7</f>
        <v>0.45</v>
      </c>
      <c r="CJ76" s="449">
        <f>$E76*'4. Dev Phasing'!CH$7/'4. Dev Phasing'!$C$7</f>
        <v>0.45</v>
      </c>
      <c r="CK76" s="434">
        <f>$E76*'4. Dev Phasing'!CI$7/'4. Dev Phasing'!$C$7</f>
        <v>0.22500000000000001</v>
      </c>
      <c r="CL76" s="434">
        <f>$E76*'4. Dev Phasing'!CJ$7/'4. Dev Phasing'!$C$7</f>
        <v>0</v>
      </c>
    </row>
    <row r="77" spans="2:90" ht="15.75" customHeight="1">
      <c r="B77" s="2" t="s">
        <v>563</v>
      </c>
      <c r="C77" s="373"/>
      <c r="D77" s="436">
        <f t="shared" si="0"/>
        <v>0</v>
      </c>
      <c r="E77" s="374">
        <v>10.5</v>
      </c>
      <c r="F77" s="437" t="s">
        <v>585</v>
      </c>
      <c r="Q77" s="434">
        <f>$E77*'4. Dev Phasing'!O$7/'4. Dev Phasing'!$C$7</f>
        <v>0</v>
      </c>
      <c r="R77" s="434">
        <f>$E77*'4. Dev Phasing'!P$7/'4. Dev Phasing'!$C$7</f>
        <v>0</v>
      </c>
      <c r="S77" s="434">
        <f>$E77*'4. Dev Phasing'!Q$7/'4. Dev Phasing'!$C$7</f>
        <v>7.4999999999999997E-2</v>
      </c>
      <c r="T77" s="434">
        <f>$E77*'4. Dev Phasing'!R$7/'4. Dev Phasing'!$C$7</f>
        <v>0.15</v>
      </c>
      <c r="U77" s="434">
        <f>$E77*'4. Dev Phasing'!S$7/'4. Dev Phasing'!$C$7</f>
        <v>0.15</v>
      </c>
      <c r="V77" s="434">
        <f>$E77*'4. Dev Phasing'!T$7/'4. Dev Phasing'!$C$7</f>
        <v>0.15</v>
      </c>
      <c r="W77" s="434">
        <f>$E77*'4. Dev Phasing'!U$7/'4. Dev Phasing'!$C$7</f>
        <v>0.15</v>
      </c>
      <c r="X77" s="434">
        <f>$E77*'4. Dev Phasing'!V$7/'4. Dev Phasing'!$C$7</f>
        <v>0.15</v>
      </c>
      <c r="Y77" s="434">
        <f>$E77*'4. Dev Phasing'!W$7/'4. Dev Phasing'!$C$7</f>
        <v>0.15</v>
      </c>
      <c r="Z77" s="434">
        <f>$E77*'4. Dev Phasing'!X$7/'4. Dev Phasing'!$C$7</f>
        <v>0.15</v>
      </c>
      <c r="AA77" s="434">
        <f>$E77*'4. Dev Phasing'!Y$7/'4. Dev Phasing'!$C$7</f>
        <v>0.15</v>
      </c>
      <c r="AB77" s="434">
        <f>$E77*'4. Dev Phasing'!Z$7/'4. Dev Phasing'!$C$7</f>
        <v>0.15</v>
      </c>
      <c r="AC77" s="434">
        <f>$E77*'4. Dev Phasing'!AA$7/'4. Dev Phasing'!$C$7</f>
        <v>0.15</v>
      </c>
      <c r="AD77" s="570">
        <f>$E77*'4. Dev Phasing'!AB$7/'4. Dev Phasing'!$C$7</f>
        <v>0.15</v>
      </c>
      <c r="AE77" s="434">
        <f>$E77*'4. Dev Phasing'!AC$7/'4. Dev Phasing'!$C$7</f>
        <v>0.15</v>
      </c>
      <c r="AF77" s="434">
        <f>$E77*'4. Dev Phasing'!AD$7/'4. Dev Phasing'!$C$7</f>
        <v>0.15</v>
      </c>
      <c r="AG77" s="434">
        <f>$E77*'4. Dev Phasing'!AE$7/'4. Dev Phasing'!$C$7</f>
        <v>0.15</v>
      </c>
      <c r="AH77" s="434">
        <f>$E77*'4. Dev Phasing'!AF$7/'4. Dev Phasing'!$C$7</f>
        <v>0.15</v>
      </c>
      <c r="AI77" s="434">
        <f>$E77*'4. Dev Phasing'!AG$7/'4. Dev Phasing'!$C$7</f>
        <v>0.15</v>
      </c>
      <c r="AJ77" s="434">
        <f>$E77*'4. Dev Phasing'!AH$7/'4. Dev Phasing'!$C$7</f>
        <v>0.15</v>
      </c>
      <c r="AK77" s="434">
        <f>$E77*'4. Dev Phasing'!AI$7/'4. Dev Phasing'!$C$7</f>
        <v>0.15</v>
      </c>
      <c r="AL77" s="434">
        <f>$E77*'4. Dev Phasing'!AJ$7/'4. Dev Phasing'!$C$7</f>
        <v>0.15</v>
      </c>
      <c r="AM77" s="434">
        <f>$E77*'4. Dev Phasing'!AK$7/'4. Dev Phasing'!$C$7</f>
        <v>0.15</v>
      </c>
      <c r="AN77" s="434">
        <f>$E77*'4. Dev Phasing'!AL$7/'4. Dev Phasing'!$C$7</f>
        <v>0.15</v>
      </c>
      <c r="AO77" s="434">
        <f>$E77*'4. Dev Phasing'!AM$7/'4. Dev Phasing'!$C$7</f>
        <v>0.15</v>
      </c>
      <c r="AP77" s="434">
        <f>$E77*'4. Dev Phasing'!AN$7/'4. Dev Phasing'!$C$7</f>
        <v>0.15</v>
      </c>
      <c r="AQ77" s="434">
        <f>$E77*'4. Dev Phasing'!AO$7/'4. Dev Phasing'!$C$7</f>
        <v>0.15</v>
      </c>
      <c r="AR77" s="434">
        <f>$E77*'4. Dev Phasing'!AP$7/'4. Dev Phasing'!$C$7</f>
        <v>0.15</v>
      </c>
      <c r="AS77" s="434">
        <f>$E77*'4. Dev Phasing'!AQ$7/'4. Dev Phasing'!$C$7</f>
        <v>0.15</v>
      </c>
      <c r="AT77" s="434">
        <f>$E77*'4. Dev Phasing'!AR$7/'4. Dev Phasing'!$C$7</f>
        <v>0.15</v>
      </c>
      <c r="AU77" s="434">
        <f>$E77*'4. Dev Phasing'!AS$7/'4. Dev Phasing'!$C$7</f>
        <v>0.15</v>
      </c>
      <c r="AV77" s="434">
        <f>$E77*'4. Dev Phasing'!AT$7/'4. Dev Phasing'!$C$7</f>
        <v>0.15</v>
      </c>
      <c r="AW77" s="434">
        <f>$E77*'4. Dev Phasing'!AU$7/'4. Dev Phasing'!$C$7</f>
        <v>0.15</v>
      </c>
      <c r="AX77" s="434">
        <f>$E77*'4. Dev Phasing'!AV$7/'4. Dev Phasing'!$C$7</f>
        <v>0.15</v>
      </c>
      <c r="AY77" s="434">
        <f>$E77*'4. Dev Phasing'!AW$7/'4. Dev Phasing'!$C$7</f>
        <v>0.15</v>
      </c>
      <c r="AZ77" s="434">
        <f>$E77*'4. Dev Phasing'!AX$7/'4. Dev Phasing'!$C$7</f>
        <v>0.15</v>
      </c>
      <c r="BA77" s="434">
        <f>$E77*'4. Dev Phasing'!AY$7/'4. Dev Phasing'!$C$7</f>
        <v>0.15</v>
      </c>
      <c r="BB77" s="434">
        <f>$E77*'4. Dev Phasing'!AZ$7/'4. Dev Phasing'!$C$7</f>
        <v>0.15</v>
      </c>
      <c r="BC77" s="434">
        <f>$E77*'4. Dev Phasing'!BA$7/'4. Dev Phasing'!$C$7</f>
        <v>0.15</v>
      </c>
      <c r="BD77" s="434">
        <f>$E77*'4. Dev Phasing'!BB$7/'4. Dev Phasing'!$C$7</f>
        <v>0.15</v>
      </c>
      <c r="BE77" s="434">
        <f>$E77*'4. Dev Phasing'!BC$7/'4. Dev Phasing'!$C$7</f>
        <v>0.15</v>
      </c>
      <c r="BF77" s="434">
        <f>$E77*'4. Dev Phasing'!BD$7/'4. Dev Phasing'!$C$7</f>
        <v>0.15</v>
      </c>
      <c r="BG77" s="434">
        <f>$E77*'4. Dev Phasing'!BE$7/'4. Dev Phasing'!$C$7</f>
        <v>0.15</v>
      </c>
      <c r="BH77" s="434">
        <f>$E77*'4. Dev Phasing'!BF$7/'4. Dev Phasing'!$C$7</f>
        <v>0.15</v>
      </c>
      <c r="BI77" s="434">
        <f>$E77*'4. Dev Phasing'!BG$7/'4. Dev Phasing'!$C$7</f>
        <v>0.15</v>
      </c>
      <c r="BJ77" s="434">
        <f>$E77*'4. Dev Phasing'!BH$7/'4. Dev Phasing'!$C$7</f>
        <v>0.15</v>
      </c>
      <c r="BK77" s="434">
        <f>$E77*'4. Dev Phasing'!BI$7/'4. Dev Phasing'!$C$7</f>
        <v>0.15</v>
      </c>
      <c r="BL77" s="434">
        <f>$E77*'4. Dev Phasing'!BJ$7/'4. Dev Phasing'!$C$7</f>
        <v>0.15</v>
      </c>
      <c r="BM77" s="434">
        <f>$E77*'4. Dev Phasing'!BK$7/'4. Dev Phasing'!$C$7</f>
        <v>0.15</v>
      </c>
      <c r="BN77" s="434">
        <f>$E77*'4. Dev Phasing'!BL$7/'4. Dev Phasing'!$C$7</f>
        <v>0.15</v>
      </c>
      <c r="BO77" s="434">
        <f>$E77*'4. Dev Phasing'!BM$7/'4. Dev Phasing'!$C$7</f>
        <v>0.15</v>
      </c>
      <c r="BP77" s="434">
        <f>$E77*'4. Dev Phasing'!BN$7/'4. Dev Phasing'!$C$7</f>
        <v>0.15</v>
      </c>
      <c r="BQ77" s="434">
        <f>$E77*'4. Dev Phasing'!BO$7/'4. Dev Phasing'!$C$7</f>
        <v>0.15</v>
      </c>
      <c r="BR77" s="434">
        <f>$E77*'4. Dev Phasing'!BP$7/'4. Dev Phasing'!$C$7</f>
        <v>0.15</v>
      </c>
      <c r="BS77" s="434">
        <f>$E77*'4. Dev Phasing'!BQ$7/'4. Dev Phasing'!$C$7</f>
        <v>0.15</v>
      </c>
      <c r="BT77" s="434">
        <f>$E77*'4. Dev Phasing'!BR$7/'4. Dev Phasing'!$C$7</f>
        <v>0.15</v>
      </c>
      <c r="BU77" s="434">
        <f>$E77*'4. Dev Phasing'!BS$7/'4. Dev Phasing'!$C$7</f>
        <v>0.15</v>
      </c>
      <c r="BV77" s="434">
        <f>$E77*'4. Dev Phasing'!BT$7/'4. Dev Phasing'!$C$7</f>
        <v>0.15</v>
      </c>
      <c r="BW77" s="434">
        <f>$E77*'4. Dev Phasing'!BU$7/'4. Dev Phasing'!$C$7</f>
        <v>0.15</v>
      </c>
      <c r="BX77" s="434">
        <f>$E77*'4. Dev Phasing'!BV$7/'4. Dev Phasing'!$C$7</f>
        <v>0.15</v>
      </c>
      <c r="BY77" s="434">
        <f>$E77*'4. Dev Phasing'!BW$7/'4. Dev Phasing'!$C$7</f>
        <v>0.15</v>
      </c>
      <c r="BZ77" s="434">
        <f>$E77*'4. Dev Phasing'!BX$7/'4. Dev Phasing'!$C$7</f>
        <v>0.15</v>
      </c>
      <c r="CA77" s="434">
        <f>$E77*'4. Dev Phasing'!BY$7/'4. Dev Phasing'!$C$7</f>
        <v>0.15</v>
      </c>
      <c r="CB77" s="434">
        <f>$E77*'4. Dev Phasing'!BZ$7/'4. Dev Phasing'!$C$7</f>
        <v>0.15</v>
      </c>
      <c r="CC77" s="434">
        <f>$E77*'4. Dev Phasing'!CA$7/'4. Dev Phasing'!$C$7</f>
        <v>0.15</v>
      </c>
      <c r="CD77" s="434">
        <f>$E77*'4. Dev Phasing'!CB$7/'4. Dev Phasing'!$C$7</f>
        <v>0.15</v>
      </c>
      <c r="CE77" s="434">
        <f>$E77*'4. Dev Phasing'!CC$7/'4. Dev Phasing'!$C$7</f>
        <v>0.15</v>
      </c>
      <c r="CF77" s="434">
        <f>$E77*'4. Dev Phasing'!CD$7/'4. Dev Phasing'!$C$7</f>
        <v>0.15</v>
      </c>
      <c r="CG77" s="434">
        <f>$E77*'4. Dev Phasing'!CE$7/'4. Dev Phasing'!$C$7</f>
        <v>0.15</v>
      </c>
      <c r="CH77" s="434">
        <f>$E77*'4. Dev Phasing'!CF$7/'4. Dev Phasing'!$C$7</f>
        <v>0.15</v>
      </c>
      <c r="CI77" s="434">
        <f>$E77*'4. Dev Phasing'!CG$7/'4. Dev Phasing'!$C$7</f>
        <v>0.15</v>
      </c>
      <c r="CJ77" s="449">
        <f>$E77*'4. Dev Phasing'!CH$7/'4. Dev Phasing'!$C$7</f>
        <v>0.15</v>
      </c>
      <c r="CK77" s="434">
        <f>$E77*'4. Dev Phasing'!CI$7/'4. Dev Phasing'!$C$7</f>
        <v>7.4999999999999997E-2</v>
      </c>
      <c r="CL77" s="434">
        <f>$E77*'4. Dev Phasing'!CJ$7/'4. Dev Phasing'!$C$7</f>
        <v>0</v>
      </c>
    </row>
    <row r="78" spans="2:90" ht="15.75" customHeight="1">
      <c r="B78" s="2" t="s">
        <v>622</v>
      </c>
      <c r="C78" s="373"/>
      <c r="D78" s="436">
        <f t="shared" si="0"/>
        <v>0</v>
      </c>
      <c r="E78" s="374">
        <v>10.5</v>
      </c>
      <c r="F78" s="437" t="s">
        <v>585</v>
      </c>
      <c r="Q78" s="434">
        <f>$E78*'4. Dev Phasing'!O$7/'4. Dev Phasing'!$C$7</f>
        <v>0</v>
      </c>
      <c r="R78" s="434">
        <f>$E78*'4. Dev Phasing'!P$7/'4. Dev Phasing'!$C$7</f>
        <v>0</v>
      </c>
      <c r="S78" s="434">
        <f>$E78*'4. Dev Phasing'!Q$7/'4. Dev Phasing'!$C$7</f>
        <v>7.4999999999999997E-2</v>
      </c>
      <c r="T78" s="434">
        <f>$E78*'4. Dev Phasing'!R$7/'4. Dev Phasing'!$C$7</f>
        <v>0.15</v>
      </c>
      <c r="U78" s="434">
        <f>$E78*'4. Dev Phasing'!S$7/'4. Dev Phasing'!$C$7</f>
        <v>0.15</v>
      </c>
      <c r="V78" s="434">
        <f>$E78*'4. Dev Phasing'!T$7/'4. Dev Phasing'!$C$7</f>
        <v>0.15</v>
      </c>
      <c r="W78" s="434">
        <f>$E78*'4. Dev Phasing'!U$7/'4. Dev Phasing'!$C$7</f>
        <v>0.15</v>
      </c>
      <c r="X78" s="434">
        <f>$E78*'4. Dev Phasing'!V$7/'4. Dev Phasing'!$C$7</f>
        <v>0.15</v>
      </c>
      <c r="Y78" s="434">
        <f>$E78*'4. Dev Phasing'!W$7/'4. Dev Phasing'!$C$7</f>
        <v>0.15</v>
      </c>
      <c r="Z78" s="434">
        <f>$E78*'4. Dev Phasing'!X$7/'4. Dev Phasing'!$C$7</f>
        <v>0.15</v>
      </c>
      <c r="AA78" s="434">
        <f>$E78*'4. Dev Phasing'!Y$7/'4. Dev Phasing'!$C$7</f>
        <v>0.15</v>
      </c>
      <c r="AB78" s="434">
        <f>$E78*'4. Dev Phasing'!Z$7/'4. Dev Phasing'!$C$7</f>
        <v>0.15</v>
      </c>
      <c r="AC78" s="434">
        <f>$E78*'4. Dev Phasing'!AA$7/'4. Dev Phasing'!$C$7</f>
        <v>0.15</v>
      </c>
      <c r="AD78" s="570">
        <f>$E78*'4. Dev Phasing'!AB$7/'4. Dev Phasing'!$C$7</f>
        <v>0.15</v>
      </c>
      <c r="AE78" s="434">
        <f>$E78*'4. Dev Phasing'!AC$7/'4. Dev Phasing'!$C$7</f>
        <v>0.15</v>
      </c>
      <c r="AF78" s="434">
        <f>$E78*'4. Dev Phasing'!AD$7/'4. Dev Phasing'!$C$7</f>
        <v>0.15</v>
      </c>
      <c r="AG78" s="434">
        <f>$E78*'4. Dev Phasing'!AE$7/'4. Dev Phasing'!$C$7</f>
        <v>0.15</v>
      </c>
      <c r="AH78" s="434">
        <f>$E78*'4. Dev Phasing'!AF$7/'4. Dev Phasing'!$C$7</f>
        <v>0.15</v>
      </c>
      <c r="AI78" s="434">
        <f>$E78*'4. Dev Phasing'!AG$7/'4. Dev Phasing'!$C$7</f>
        <v>0.15</v>
      </c>
      <c r="AJ78" s="434">
        <f>$E78*'4. Dev Phasing'!AH$7/'4. Dev Phasing'!$C$7</f>
        <v>0.15</v>
      </c>
      <c r="AK78" s="434">
        <f>$E78*'4. Dev Phasing'!AI$7/'4. Dev Phasing'!$C$7</f>
        <v>0.15</v>
      </c>
      <c r="AL78" s="434">
        <f>$E78*'4. Dev Phasing'!AJ$7/'4. Dev Phasing'!$C$7</f>
        <v>0.15</v>
      </c>
      <c r="AM78" s="434">
        <f>$E78*'4. Dev Phasing'!AK$7/'4. Dev Phasing'!$C$7</f>
        <v>0.15</v>
      </c>
      <c r="AN78" s="434">
        <f>$E78*'4. Dev Phasing'!AL$7/'4. Dev Phasing'!$C$7</f>
        <v>0.15</v>
      </c>
      <c r="AO78" s="434">
        <f>$E78*'4. Dev Phasing'!AM$7/'4. Dev Phasing'!$C$7</f>
        <v>0.15</v>
      </c>
      <c r="AP78" s="434">
        <f>$E78*'4. Dev Phasing'!AN$7/'4. Dev Phasing'!$C$7</f>
        <v>0.15</v>
      </c>
      <c r="AQ78" s="434">
        <f>$E78*'4. Dev Phasing'!AO$7/'4. Dev Phasing'!$C$7</f>
        <v>0.15</v>
      </c>
      <c r="AR78" s="434">
        <f>$E78*'4. Dev Phasing'!AP$7/'4. Dev Phasing'!$C$7</f>
        <v>0.15</v>
      </c>
      <c r="AS78" s="434">
        <f>$E78*'4. Dev Phasing'!AQ$7/'4. Dev Phasing'!$C$7</f>
        <v>0.15</v>
      </c>
      <c r="AT78" s="434">
        <f>$E78*'4. Dev Phasing'!AR$7/'4. Dev Phasing'!$C$7</f>
        <v>0.15</v>
      </c>
      <c r="AU78" s="434">
        <f>$E78*'4. Dev Phasing'!AS$7/'4. Dev Phasing'!$C$7</f>
        <v>0.15</v>
      </c>
      <c r="AV78" s="434">
        <f>$E78*'4. Dev Phasing'!AT$7/'4. Dev Phasing'!$C$7</f>
        <v>0.15</v>
      </c>
      <c r="AW78" s="434">
        <f>$E78*'4. Dev Phasing'!AU$7/'4. Dev Phasing'!$C$7</f>
        <v>0.15</v>
      </c>
      <c r="AX78" s="434">
        <f>$E78*'4. Dev Phasing'!AV$7/'4. Dev Phasing'!$C$7</f>
        <v>0.15</v>
      </c>
      <c r="AY78" s="434">
        <f>$E78*'4. Dev Phasing'!AW$7/'4. Dev Phasing'!$C$7</f>
        <v>0.15</v>
      </c>
      <c r="AZ78" s="434">
        <f>$E78*'4. Dev Phasing'!AX$7/'4. Dev Phasing'!$C$7</f>
        <v>0.15</v>
      </c>
      <c r="BA78" s="434">
        <f>$E78*'4. Dev Phasing'!AY$7/'4. Dev Phasing'!$C$7</f>
        <v>0.15</v>
      </c>
      <c r="BB78" s="434">
        <f>$E78*'4. Dev Phasing'!AZ$7/'4. Dev Phasing'!$C$7</f>
        <v>0.15</v>
      </c>
      <c r="BC78" s="434">
        <f>$E78*'4. Dev Phasing'!BA$7/'4. Dev Phasing'!$C$7</f>
        <v>0.15</v>
      </c>
      <c r="BD78" s="434">
        <f>$E78*'4. Dev Phasing'!BB$7/'4. Dev Phasing'!$C$7</f>
        <v>0.15</v>
      </c>
      <c r="BE78" s="434">
        <f>$E78*'4. Dev Phasing'!BC$7/'4. Dev Phasing'!$C$7</f>
        <v>0.15</v>
      </c>
      <c r="BF78" s="434">
        <f>$E78*'4. Dev Phasing'!BD$7/'4. Dev Phasing'!$C$7</f>
        <v>0.15</v>
      </c>
      <c r="BG78" s="434">
        <f>$E78*'4. Dev Phasing'!BE$7/'4. Dev Phasing'!$C$7</f>
        <v>0.15</v>
      </c>
      <c r="BH78" s="434">
        <f>$E78*'4. Dev Phasing'!BF$7/'4. Dev Phasing'!$C$7</f>
        <v>0.15</v>
      </c>
      <c r="BI78" s="434">
        <f>$E78*'4. Dev Phasing'!BG$7/'4. Dev Phasing'!$C$7</f>
        <v>0.15</v>
      </c>
      <c r="BJ78" s="434">
        <f>$E78*'4. Dev Phasing'!BH$7/'4. Dev Phasing'!$C$7</f>
        <v>0.15</v>
      </c>
      <c r="BK78" s="434">
        <f>$E78*'4. Dev Phasing'!BI$7/'4. Dev Phasing'!$C$7</f>
        <v>0.15</v>
      </c>
      <c r="BL78" s="434">
        <f>$E78*'4. Dev Phasing'!BJ$7/'4. Dev Phasing'!$C$7</f>
        <v>0.15</v>
      </c>
      <c r="BM78" s="434">
        <f>$E78*'4. Dev Phasing'!BK$7/'4. Dev Phasing'!$C$7</f>
        <v>0.15</v>
      </c>
      <c r="BN78" s="434">
        <f>$E78*'4. Dev Phasing'!BL$7/'4. Dev Phasing'!$C$7</f>
        <v>0.15</v>
      </c>
      <c r="BO78" s="434">
        <f>$E78*'4. Dev Phasing'!BM$7/'4. Dev Phasing'!$C$7</f>
        <v>0.15</v>
      </c>
      <c r="BP78" s="434">
        <f>$E78*'4. Dev Phasing'!BN$7/'4. Dev Phasing'!$C$7</f>
        <v>0.15</v>
      </c>
      <c r="BQ78" s="434">
        <f>$E78*'4. Dev Phasing'!BO$7/'4. Dev Phasing'!$C$7</f>
        <v>0.15</v>
      </c>
      <c r="BR78" s="434">
        <f>$E78*'4. Dev Phasing'!BP$7/'4. Dev Phasing'!$C$7</f>
        <v>0.15</v>
      </c>
      <c r="BS78" s="434">
        <f>$E78*'4. Dev Phasing'!BQ$7/'4. Dev Phasing'!$C$7</f>
        <v>0.15</v>
      </c>
      <c r="BT78" s="434">
        <f>$E78*'4. Dev Phasing'!BR$7/'4. Dev Phasing'!$C$7</f>
        <v>0.15</v>
      </c>
      <c r="BU78" s="434">
        <f>$E78*'4. Dev Phasing'!BS$7/'4. Dev Phasing'!$C$7</f>
        <v>0.15</v>
      </c>
      <c r="BV78" s="434">
        <f>$E78*'4. Dev Phasing'!BT$7/'4. Dev Phasing'!$C$7</f>
        <v>0.15</v>
      </c>
      <c r="BW78" s="434">
        <f>$E78*'4. Dev Phasing'!BU$7/'4. Dev Phasing'!$C$7</f>
        <v>0.15</v>
      </c>
      <c r="BX78" s="434">
        <f>$E78*'4. Dev Phasing'!BV$7/'4. Dev Phasing'!$C$7</f>
        <v>0.15</v>
      </c>
      <c r="BY78" s="434">
        <f>$E78*'4. Dev Phasing'!BW$7/'4. Dev Phasing'!$C$7</f>
        <v>0.15</v>
      </c>
      <c r="BZ78" s="434">
        <f>$E78*'4. Dev Phasing'!BX$7/'4. Dev Phasing'!$C$7</f>
        <v>0.15</v>
      </c>
      <c r="CA78" s="434">
        <f>$E78*'4. Dev Phasing'!BY$7/'4. Dev Phasing'!$C$7</f>
        <v>0.15</v>
      </c>
      <c r="CB78" s="434">
        <f>$E78*'4. Dev Phasing'!BZ$7/'4. Dev Phasing'!$C$7</f>
        <v>0.15</v>
      </c>
      <c r="CC78" s="434">
        <f>$E78*'4. Dev Phasing'!CA$7/'4. Dev Phasing'!$C$7</f>
        <v>0.15</v>
      </c>
      <c r="CD78" s="434">
        <f>$E78*'4. Dev Phasing'!CB$7/'4. Dev Phasing'!$C$7</f>
        <v>0.15</v>
      </c>
      <c r="CE78" s="434">
        <f>$E78*'4. Dev Phasing'!CC$7/'4. Dev Phasing'!$C$7</f>
        <v>0.15</v>
      </c>
      <c r="CF78" s="434">
        <f>$E78*'4. Dev Phasing'!CD$7/'4. Dev Phasing'!$C$7</f>
        <v>0.15</v>
      </c>
      <c r="CG78" s="434">
        <f>$E78*'4. Dev Phasing'!CE$7/'4. Dev Phasing'!$C$7</f>
        <v>0.15</v>
      </c>
      <c r="CH78" s="434">
        <f>$E78*'4. Dev Phasing'!CF$7/'4. Dev Phasing'!$C$7</f>
        <v>0.15</v>
      </c>
      <c r="CI78" s="434">
        <f>$E78*'4. Dev Phasing'!CG$7/'4. Dev Phasing'!$C$7</f>
        <v>0.15</v>
      </c>
      <c r="CJ78" s="449">
        <f>$E78*'4. Dev Phasing'!CH$7/'4. Dev Phasing'!$C$7</f>
        <v>0.15</v>
      </c>
      <c r="CK78" s="434">
        <f>$E78*'4. Dev Phasing'!CI$7/'4. Dev Phasing'!$C$7</f>
        <v>7.4999999999999997E-2</v>
      </c>
      <c r="CL78" s="434">
        <f>$E78*'4. Dev Phasing'!CJ$7/'4. Dev Phasing'!$C$7</f>
        <v>0</v>
      </c>
    </row>
    <row r="79" spans="2:90" ht="15.75" customHeight="1">
      <c r="B79" s="2" t="s">
        <v>564</v>
      </c>
      <c r="C79" s="373"/>
      <c r="D79" s="436">
        <f t="shared" si="0"/>
        <v>0</v>
      </c>
      <c r="E79" s="374">
        <v>44.1</v>
      </c>
      <c r="F79" s="437"/>
      <c r="Q79" s="434">
        <f>$E79*'4. Dev Phasing'!O$7/'4. Dev Phasing'!$C$7</f>
        <v>0</v>
      </c>
      <c r="R79" s="434">
        <f>$E79*'4. Dev Phasing'!P$7/'4. Dev Phasing'!$C$7</f>
        <v>0</v>
      </c>
      <c r="S79" s="434">
        <v>3.1</v>
      </c>
      <c r="T79" s="434"/>
      <c r="U79" s="434"/>
      <c r="V79" s="434"/>
      <c r="W79" s="434"/>
      <c r="X79" s="434"/>
      <c r="Y79" s="434"/>
      <c r="Z79" s="434"/>
      <c r="AA79" s="434">
        <v>3.2</v>
      </c>
      <c r="AB79" s="434"/>
      <c r="AC79" s="434"/>
      <c r="AD79" s="570"/>
      <c r="AE79" s="434"/>
      <c r="AF79" s="434"/>
      <c r="AG79" s="434"/>
      <c r="AH79" s="434"/>
      <c r="AI79" s="434">
        <v>3.1</v>
      </c>
      <c r="AJ79" s="434"/>
      <c r="AK79" s="434"/>
      <c r="AL79" s="434"/>
      <c r="AM79" s="434"/>
      <c r="AN79" s="434">
        <v>3.2</v>
      </c>
      <c r="AO79" s="434"/>
      <c r="AP79" s="434"/>
      <c r="AQ79" s="434"/>
      <c r="AR79" s="434"/>
      <c r="AS79" s="434">
        <v>3.1</v>
      </c>
      <c r="AT79" s="434"/>
      <c r="AU79" s="434"/>
      <c r="AV79" s="434">
        <v>3.2</v>
      </c>
      <c r="AW79" s="434"/>
      <c r="AX79" s="434"/>
      <c r="AY79" s="434">
        <v>3.1</v>
      </c>
      <c r="AZ79" s="434"/>
      <c r="BA79" s="434"/>
      <c r="BB79" s="434"/>
      <c r="BC79" s="434"/>
      <c r="BD79" s="434">
        <v>3.2</v>
      </c>
      <c r="BE79" s="434"/>
      <c r="BF79" s="434"/>
      <c r="BG79" s="434"/>
      <c r="BH79" s="434"/>
      <c r="BI79" s="434">
        <v>3.1</v>
      </c>
      <c r="BJ79" s="434"/>
      <c r="BK79" s="434"/>
      <c r="BL79" s="434"/>
      <c r="BM79" s="434"/>
      <c r="BN79" s="434">
        <v>3.2</v>
      </c>
      <c r="BO79" s="434"/>
      <c r="BP79" s="434"/>
      <c r="BQ79" s="434"/>
      <c r="BR79" s="434"/>
      <c r="BS79" s="434">
        <v>3.1</v>
      </c>
      <c r="BT79" s="434"/>
      <c r="BU79" s="434"/>
      <c r="BV79" s="434"/>
      <c r="BW79" s="434">
        <v>3.1</v>
      </c>
      <c r="BX79" s="434"/>
      <c r="BY79" s="434"/>
      <c r="BZ79" s="434"/>
      <c r="CA79" s="434">
        <f>3.1+0.1</f>
        <v>3.2</v>
      </c>
      <c r="CB79" s="434"/>
      <c r="CC79" s="434"/>
      <c r="CD79" s="434"/>
      <c r="CE79" s="434">
        <f>3.1+0.1</f>
        <v>3.2</v>
      </c>
      <c r="CF79" s="434"/>
      <c r="CG79" s="434"/>
      <c r="CH79" s="434"/>
      <c r="CI79" s="434"/>
      <c r="CJ79" s="449"/>
      <c r="CK79" s="434"/>
      <c r="CL79" s="434"/>
    </row>
    <row r="80" spans="2:90" ht="15.75" customHeight="1">
      <c r="B80" s="2" t="s">
        <v>565</v>
      </c>
      <c r="C80" s="373"/>
      <c r="D80" s="436">
        <f t="shared" si="0"/>
        <v>0</v>
      </c>
      <c r="E80" s="374">
        <v>21</v>
      </c>
      <c r="F80" s="437"/>
      <c r="Q80" s="434">
        <f>$E80*'4. Dev Phasing'!O$7/'4. Dev Phasing'!$C$7</f>
        <v>0</v>
      </c>
      <c r="R80" s="434">
        <f>$E80*'4. Dev Phasing'!P$7/'4. Dev Phasing'!$C$7</f>
        <v>0</v>
      </c>
      <c r="S80" s="434">
        <f>$E80*'4. Dev Phasing'!Q$7/'4. Dev Phasing'!$C$7</f>
        <v>0.15</v>
      </c>
      <c r="T80" s="434">
        <f>$E80*'4. Dev Phasing'!R$7/'4. Dev Phasing'!$C$7</f>
        <v>0.3</v>
      </c>
      <c r="U80" s="434">
        <f>$E80*'4. Dev Phasing'!S$7/'4. Dev Phasing'!$C$7</f>
        <v>0.3</v>
      </c>
      <c r="V80" s="434">
        <f>$E80*'4. Dev Phasing'!T$7/'4. Dev Phasing'!$C$7</f>
        <v>0.3</v>
      </c>
      <c r="W80" s="434">
        <f>$E80*'4. Dev Phasing'!U$7/'4. Dev Phasing'!$C$7</f>
        <v>0.3</v>
      </c>
      <c r="X80" s="434">
        <f>$E80*'4. Dev Phasing'!V$7/'4. Dev Phasing'!$C$7</f>
        <v>0.3</v>
      </c>
      <c r="Y80" s="434">
        <f>$E80*'4. Dev Phasing'!W$7/'4. Dev Phasing'!$C$7</f>
        <v>0.3</v>
      </c>
      <c r="Z80" s="434">
        <f>$E80*'4. Dev Phasing'!X$7/'4. Dev Phasing'!$C$7</f>
        <v>0.3</v>
      </c>
      <c r="AA80" s="434">
        <f>$E80*'4. Dev Phasing'!Y$7/'4. Dev Phasing'!$C$7</f>
        <v>0.3</v>
      </c>
      <c r="AB80" s="434">
        <f>$E80*'4. Dev Phasing'!Z$7/'4. Dev Phasing'!$C$7</f>
        <v>0.3</v>
      </c>
      <c r="AC80" s="434">
        <f>$E80*'4. Dev Phasing'!AA$7/'4. Dev Phasing'!$C$7</f>
        <v>0.3</v>
      </c>
      <c r="AD80" s="570">
        <f>$E80*'4. Dev Phasing'!AB$7/'4. Dev Phasing'!$C$7</f>
        <v>0.3</v>
      </c>
      <c r="AE80" s="434">
        <f>$E80*'4. Dev Phasing'!AC$7/'4. Dev Phasing'!$C$7</f>
        <v>0.3</v>
      </c>
      <c r="AF80" s="434">
        <f>$E80*'4. Dev Phasing'!AD$7/'4. Dev Phasing'!$C$7</f>
        <v>0.3</v>
      </c>
      <c r="AG80" s="434">
        <f>$E80*'4. Dev Phasing'!AE$7/'4. Dev Phasing'!$C$7</f>
        <v>0.3</v>
      </c>
      <c r="AH80" s="434">
        <f>$E80*'4. Dev Phasing'!AF$7/'4. Dev Phasing'!$C$7</f>
        <v>0.3</v>
      </c>
      <c r="AI80" s="434">
        <f>$E80*'4. Dev Phasing'!AG$7/'4. Dev Phasing'!$C$7</f>
        <v>0.3</v>
      </c>
      <c r="AJ80" s="434">
        <f>$E80*'4. Dev Phasing'!AH$7/'4. Dev Phasing'!$C$7</f>
        <v>0.3</v>
      </c>
      <c r="AK80" s="434">
        <f>$E80*'4. Dev Phasing'!AI$7/'4. Dev Phasing'!$C$7</f>
        <v>0.3</v>
      </c>
      <c r="AL80" s="434">
        <f>$E80*'4. Dev Phasing'!AJ$7/'4. Dev Phasing'!$C$7</f>
        <v>0.3</v>
      </c>
      <c r="AM80" s="434">
        <f>$E80*'4. Dev Phasing'!AK$7/'4. Dev Phasing'!$C$7</f>
        <v>0.3</v>
      </c>
      <c r="AN80" s="434">
        <f>$E80*'4. Dev Phasing'!AL$7/'4. Dev Phasing'!$C$7</f>
        <v>0.3</v>
      </c>
      <c r="AO80" s="434">
        <f>$E80*'4. Dev Phasing'!AM$7/'4. Dev Phasing'!$C$7</f>
        <v>0.3</v>
      </c>
      <c r="AP80" s="434">
        <f>$E80*'4. Dev Phasing'!AN$7/'4. Dev Phasing'!$C$7</f>
        <v>0.3</v>
      </c>
      <c r="AQ80" s="434">
        <f>$E80*'4. Dev Phasing'!AO$7/'4. Dev Phasing'!$C$7</f>
        <v>0.3</v>
      </c>
      <c r="AR80" s="434">
        <f>$E80*'4. Dev Phasing'!AP$7/'4. Dev Phasing'!$C$7</f>
        <v>0.3</v>
      </c>
      <c r="AS80" s="434">
        <f>$E80*'4. Dev Phasing'!AQ$7/'4. Dev Phasing'!$C$7</f>
        <v>0.3</v>
      </c>
      <c r="AT80" s="434">
        <f>$E80*'4. Dev Phasing'!AR$7/'4. Dev Phasing'!$C$7</f>
        <v>0.3</v>
      </c>
      <c r="AU80" s="434">
        <f>$E80*'4. Dev Phasing'!AS$7/'4. Dev Phasing'!$C$7</f>
        <v>0.3</v>
      </c>
      <c r="AV80" s="434">
        <f>$E80*'4. Dev Phasing'!AT$7/'4. Dev Phasing'!$C$7</f>
        <v>0.3</v>
      </c>
      <c r="AW80" s="434">
        <f>$E80*'4. Dev Phasing'!AU$7/'4. Dev Phasing'!$C$7</f>
        <v>0.3</v>
      </c>
      <c r="AX80" s="434">
        <f>$E80*'4. Dev Phasing'!AV$7/'4. Dev Phasing'!$C$7</f>
        <v>0.3</v>
      </c>
      <c r="AY80" s="434">
        <f>$E80*'4. Dev Phasing'!AW$7/'4. Dev Phasing'!$C$7</f>
        <v>0.3</v>
      </c>
      <c r="AZ80" s="434">
        <f>$E80*'4. Dev Phasing'!AX$7/'4. Dev Phasing'!$C$7</f>
        <v>0.3</v>
      </c>
      <c r="BA80" s="434">
        <f>$E80*'4. Dev Phasing'!AY$7/'4. Dev Phasing'!$C$7</f>
        <v>0.3</v>
      </c>
      <c r="BB80" s="434">
        <f>$E80*'4. Dev Phasing'!AZ$7/'4. Dev Phasing'!$C$7</f>
        <v>0.3</v>
      </c>
      <c r="BC80" s="434">
        <f>$E80*'4. Dev Phasing'!BA$7/'4. Dev Phasing'!$C$7</f>
        <v>0.3</v>
      </c>
      <c r="BD80" s="434">
        <f>$E80*'4. Dev Phasing'!BB$7/'4. Dev Phasing'!$C$7</f>
        <v>0.3</v>
      </c>
      <c r="BE80" s="434">
        <f>$E80*'4. Dev Phasing'!BC$7/'4. Dev Phasing'!$C$7</f>
        <v>0.3</v>
      </c>
      <c r="BF80" s="434">
        <f>$E80*'4. Dev Phasing'!BD$7/'4. Dev Phasing'!$C$7</f>
        <v>0.3</v>
      </c>
      <c r="BG80" s="434">
        <f>$E80*'4. Dev Phasing'!BE$7/'4. Dev Phasing'!$C$7</f>
        <v>0.3</v>
      </c>
      <c r="BH80" s="434">
        <f>$E80*'4. Dev Phasing'!BF$7/'4. Dev Phasing'!$C$7</f>
        <v>0.3</v>
      </c>
      <c r="BI80" s="434">
        <f>$E80*'4. Dev Phasing'!BG$7/'4. Dev Phasing'!$C$7</f>
        <v>0.3</v>
      </c>
      <c r="BJ80" s="434">
        <f>$E80*'4. Dev Phasing'!BH$7/'4. Dev Phasing'!$C$7</f>
        <v>0.3</v>
      </c>
      <c r="BK80" s="434">
        <f>$E80*'4. Dev Phasing'!BI$7/'4. Dev Phasing'!$C$7</f>
        <v>0.3</v>
      </c>
      <c r="BL80" s="434">
        <f>$E80*'4. Dev Phasing'!BJ$7/'4. Dev Phasing'!$C$7</f>
        <v>0.3</v>
      </c>
      <c r="BM80" s="434">
        <f>$E80*'4. Dev Phasing'!BK$7/'4. Dev Phasing'!$C$7</f>
        <v>0.3</v>
      </c>
      <c r="BN80" s="434">
        <f>$E80*'4. Dev Phasing'!BL$7/'4. Dev Phasing'!$C$7</f>
        <v>0.3</v>
      </c>
      <c r="BO80" s="434">
        <f>$E80*'4. Dev Phasing'!BM$7/'4. Dev Phasing'!$C$7</f>
        <v>0.3</v>
      </c>
      <c r="BP80" s="434">
        <f>$E80*'4. Dev Phasing'!BN$7/'4. Dev Phasing'!$C$7</f>
        <v>0.3</v>
      </c>
      <c r="BQ80" s="434">
        <f>$E80*'4. Dev Phasing'!BO$7/'4. Dev Phasing'!$C$7</f>
        <v>0.3</v>
      </c>
      <c r="BR80" s="434">
        <f>$E80*'4. Dev Phasing'!BP$7/'4. Dev Phasing'!$C$7</f>
        <v>0.3</v>
      </c>
      <c r="BS80" s="434">
        <f>$E80*'4. Dev Phasing'!BQ$7/'4. Dev Phasing'!$C$7</f>
        <v>0.3</v>
      </c>
      <c r="BT80" s="434">
        <f>$E80*'4. Dev Phasing'!BR$7/'4. Dev Phasing'!$C$7</f>
        <v>0.3</v>
      </c>
      <c r="BU80" s="434">
        <f>$E80*'4. Dev Phasing'!BS$7/'4. Dev Phasing'!$C$7</f>
        <v>0.3</v>
      </c>
      <c r="BV80" s="434">
        <f>$E80*'4. Dev Phasing'!BT$7/'4. Dev Phasing'!$C$7</f>
        <v>0.3</v>
      </c>
      <c r="BW80" s="434">
        <f>$E80*'4. Dev Phasing'!BU$7/'4. Dev Phasing'!$C$7</f>
        <v>0.3</v>
      </c>
      <c r="BX80" s="434">
        <f>$E80*'4. Dev Phasing'!BV$7/'4. Dev Phasing'!$C$7</f>
        <v>0.3</v>
      </c>
      <c r="BY80" s="434">
        <f>$E80*'4. Dev Phasing'!BW$7/'4. Dev Phasing'!$C$7</f>
        <v>0.3</v>
      </c>
      <c r="BZ80" s="434">
        <f>$E80*'4. Dev Phasing'!BX$7/'4. Dev Phasing'!$C$7</f>
        <v>0.3</v>
      </c>
      <c r="CA80" s="434">
        <f>$E80*'4. Dev Phasing'!BY$7/'4. Dev Phasing'!$C$7</f>
        <v>0.3</v>
      </c>
      <c r="CB80" s="434">
        <f>$E80*'4. Dev Phasing'!BZ$7/'4. Dev Phasing'!$C$7</f>
        <v>0.3</v>
      </c>
      <c r="CC80" s="434">
        <f>$E80*'4. Dev Phasing'!CA$7/'4. Dev Phasing'!$C$7</f>
        <v>0.3</v>
      </c>
      <c r="CD80" s="434">
        <f>$E80*'4. Dev Phasing'!CB$7/'4. Dev Phasing'!$C$7</f>
        <v>0.3</v>
      </c>
      <c r="CE80" s="434">
        <f>$E80*'4. Dev Phasing'!CC$7/'4. Dev Phasing'!$C$7</f>
        <v>0.3</v>
      </c>
      <c r="CF80" s="434">
        <f>$E80*'4. Dev Phasing'!CD$7/'4. Dev Phasing'!$C$7</f>
        <v>0.3</v>
      </c>
      <c r="CG80" s="434">
        <f>$E80*'4. Dev Phasing'!CE$7/'4. Dev Phasing'!$C$7</f>
        <v>0.3</v>
      </c>
      <c r="CH80" s="434">
        <f>$E80*'4. Dev Phasing'!CF$7/'4. Dev Phasing'!$C$7</f>
        <v>0.3</v>
      </c>
      <c r="CI80" s="434">
        <f>$E80*'4. Dev Phasing'!CG$7/'4. Dev Phasing'!$C$7</f>
        <v>0.3</v>
      </c>
      <c r="CJ80" s="449">
        <f>$E80*'4. Dev Phasing'!CH$7/'4. Dev Phasing'!$C$7</f>
        <v>0.3</v>
      </c>
      <c r="CK80" s="434">
        <f>$E80*'4. Dev Phasing'!CI$7/'4. Dev Phasing'!$C$7</f>
        <v>0.15</v>
      </c>
      <c r="CL80" s="434">
        <f>$E80*'4. Dev Phasing'!CJ$7/'4. Dev Phasing'!$C$7</f>
        <v>0</v>
      </c>
    </row>
    <row r="81" spans="2:89" ht="15.75" customHeight="1">
      <c r="B81" s="2" t="s">
        <v>566</v>
      </c>
      <c r="C81" s="373"/>
      <c r="D81" s="436">
        <f t="shared" si="0"/>
        <v>0</v>
      </c>
      <c r="E81" s="372"/>
      <c r="F81" s="437"/>
    </row>
    <row r="82" spans="2:89" ht="15.75" customHeight="1">
      <c r="B82" s="2" t="s">
        <v>567</v>
      </c>
      <c r="C82" s="373"/>
      <c r="D82" s="436">
        <f>E82-SUM(H82:CK82)</f>
        <v>0</v>
      </c>
      <c r="E82" s="372">
        <v>4.2</v>
      </c>
      <c r="F82" s="437"/>
      <c r="P82" s="2">
        <v>1.4</v>
      </c>
      <c r="Q82" s="2">
        <v>1.4</v>
      </c>
      <c r="R82" s="2">
        <v>1.4</v>
      </c>
    </row>
    <row r="83" spans="2:89" ht="15.75" customHeight="1">
      <c r="B83" s="2" t="s">
        <v>568</v>
      </c>
      <c r="C83" s="610">
        <v>110.18</v>
      </c>
      <c r="D83" s="436">
        <f>E83-SUM(H83:CK83)</f>
        <v>1.8571428571476645E-3</v>
      </c>
      <c r="E83" s="372">
        <f>SUM(E54:E75)*$E16</f>
        <v>85.970000000000013</v>
      </c>
      <c r="F83" s="437"/>
      <c r="O83" s="372">
        <f t="shared" ref="O83:CA83" si="1">SUM(O54:O75)*$E16</f>
        <v>0</v>
      </c>
      <c r="P83" s="372">
        <f t="shared" si="1"/>
        <v>0</v>
      </c>
      <c r="Q83" s="372">
        <f t="shared" si="1"/>
        <v>0</v>
      </c>
      <c r="R83" s="372">
        <f t="shared" si="1"/>
        <v>0.27857142857142858</v>
      </c>
      <c r="S83" s="372">
        <f t="shared" si="1"/>
        <v>1.284642857142857</v>
      </c>
      <c r="T83" s="372">
        <f t="shared" si="1"/>
        <v>3.1004285714285715</v>
      </c>
      <c r="U83" s="372">
        <f t="shared" si="1"/>
        <v>1.9404285714285718</v>
      </c>
      <c r="V83" s="372">
        <f t="shared" si="1"/>
        <v>3.1521428571428571</v>
      </c>
      <c r="W83" s="372">
        <f t="shared" si="1"/>
        <v>2.1421428571428573</v>
      </c>
      <c r="X83" s="372">
        <f t="shared" si="1"/>
        <v>1.7004285714285716</v>
      </c>
      <c r="Y83" s="372">
        <f t="shared" si="1"/>
        <v>2.4204285714285718</v>
      </c>
      <c r="Z83" s="372">
        <f t="shared" si="1"/>
        <v>2.7404285714285717</v>
      </c>
      <c r="AA83" s="372">
        <f t="shared" si="1"/>
        <v>1.8921428571428571</v>
      </c>
      <c r="AB83" s="372">
        <f t="shared" si="1"/>
        <v>1.3504285714285713</v>
      </c>
      <c r="AC83" s="372">
        <f t="shared" si="1"/>
        <v>1.4004285714285718</v>
      </c>
      <c r="AD83" s="571">
        <f t="shared" si="1"/>
        <v>1.0504285714285715</v>
      </c>
      <c r="AE83" s="372">
        <f t="shared" si="1"/>
        <v>1.4504285714285716</v>
      </c>
      <c r="AF83" s="372">
        <f t="shared" si="1"/>
        <v>0.9721428571428572</v>
      </c>
      <c r="AG83" s="372">
        <f t="shared" si="1"/>
        <v>1.7104285714285716</v>
      </c>
      <c r="AH83" s="372">
        <f t="shared" si="1"/>
        <v>2.4104285714285716</v>
      </c>
      <c r="AI83" s="372">
        <f t="shared" si="1"/>
        <v>0.95042857142857162</v>
      </c>
      <c r="AJ83" s="372">
        <f t="shared" si="1"/>
        <v>0.57214285714285718</v>
      </c>
      <c r="AK83" s="372">
        <f t="shared" si="1"/>
        <v>1.4404285714285716</v>
      </c>
      <c r="AL83" s="372">
        <f t="shared" si="1"/>
        <v>1.1804285714285716</v>
      </c>
      <c r="AM83" s="372">
        <f t="shared" si="1"/>
        <v>0.95042857142857151</v>
      </c>
      <c r="AN83" s="372">
        <f t="shared" si="1"/>
        <v>1.6021428571428573</v>
      </c>
      <c r="AO83" s="372">
        <f t="shared" si="1"/>
        <v>0.5804285714285714</v>
      </c>
      <c r="AP83" s="372">
        <f t="shared" si="1"/>
        <v>3.020428571428571</v>
      </c>
      <c r="AQ83" s="372">
        <f t="shared" si="1"/>
        <v>1.8904285714285713</v>
      </c>
      <c r="AR83" s="372">
        <f t="shared" si="1"/>
        <v>0.94214285714285728</v>
      </c>
      <c r="AS83" s="372">
        <f t="shared" si="1"/>
        <v>0.98042857142857154</v>
      </c>
      <c r="AT83" s="372">
        <f t="shared" si="1"/>
        <v>0.9304285714285716</v>
      </c>
      <c r="AU83" s="372">
        <f t="shared" si="1"/>
        <v>0.78042857142857147</v>
      </c>
      <c r="AV83" s="372">
        <f t="shared" si="1"/>
        <v>0.77214285714285724</v>
      </c>
      <c r="AW83" s="372">
        <f t="shared" si="1"/>
        <v>0.70042857142857151</v>
      </c>
      <c r="AX83" s="372">
        <f t="shared" si="1"/>
        <v>0.85042857142857153</v>
      </c>
      <c r="AY83" s="372">
        <f t="shared" si="1"/>
        <v>1.7804285714285717</v>
      </c>
      <c r="AZ83" s="372">
        <f t="shared" si="1"/>
        <v>1.1721428571428572</v>
      </c>
      <c r="BA83" s="372">
        <f t="shared" si="1"/>
        <v>1.1304285714285716</v>
      </c>
      <c r="BB83" s="372">
        <f t="shared" si="1"/>
        <v>0.70042857142857151</v>
      </c>
      <c r="BC83" s="372">
        <f t="shared" si="1"/>
        <v>0.83042857142857152</v>
      </c>
      <c r="BD83" s="372">
        <f t="shared" si="1"/>
        <v>0.57214285714285718</v>
      </c>
      <c r="BE83" s="372">
        <f t="shared" si="1"/>
        <v>0.78042857142857147</v>
      </c>
      <c r="BF83" s="372">
        <f t="shared" si="1"/>
        <v>1.1804285714285716</v>
      </c>
      <c r="BG83" s="372">
        <f t="shared" si="1"/>
        <v>0.97042857142857164</v>
      </c>
      <c r="BH83" s="372">
        <f t="shared" si="1"/>
        <v>0.94214285714285728</v>
      </c>
      <c r="BI83" s="372">
        <f t="shared" si="1"/>
        <v>0.5804285714285714</v>
      </c>
      <c r="BJ83" s="372">
        <f t="shared" si="1"/>
        <v>0.78042857142857147</v>
      </c>
      <c r="BK83" s="372">
        <f t="shared" si="1"/>
        <v>0.90042857142857169</v>
      </c>
      <c r="BL83" s="372">
        <f t="shared" si="1"/>
        <v>0.57214285714285718</v>
      </c>
      <c r="BM83" s="372">
        <f t="shared" si="1"/>
        <v>1.2304285714285716</v>
      </c>
      <c r="BN83" s="372">
        <f t="shared" si="1"/>
        <v>1.1304285714285716</v>
      </c>
      <c r="BO83" s="372">
        <f t="shared" si="1"/>
        <v>0.78042857142857147</v>
      </c>
      <c r="BP83" s="372">
        <f t="shared" si="1"/>
        <v>0.57214285714285718</v>
      </c>
      <c r="BQ83" s="372">
        <f t="shared" si="1"/>
        <v>2.1504285714285714</v>
      </c>
      <c r="BR83" s="372">
        <f t="shared" si="1"/>
        <v>0.78042857142857147</v>
      </c>
      <c r="BS83" s="372">
        <f t="shared" si="1"/>
        <v>0.98042857142857154</v>
      </c>
      <c r="BT83" s="372">
        <f t="shared" si="1"/>
        <v>1.1404285714285716</v>
      </c>
      <c r="BU83" s="372">
        <f t="shared" si="1"/>
        <v>2.1304285714285713</v>
      </c>
      <c r="BV83" s="372">
        <f t="shared" si="1"/>
        <v>1.6904285714285714</v>
      </c>
      <c r="BW83" s="372">
        <f t="shared" si="1"/>
        <v>0.70042857142857151</v>
      </c>
      <c r="BX83" s="372">
        <f t="shared" si="1"/>
        <v>0.5804285714285714</v>
      </c>
      <c r="BY83" s="372">
        <f t="shared" si="1"/>
        <v>0.83042857142857152</v>
      </c>
      <c r="BZ83" s="372">
        <f t="shared" si="1"/>
        <v>0.98042857142857154</v>
      </c>
      <c r="CA83" s="372">
        <f t="shared" si="1"/>
        <v>1.1304285714285716</v>
      </c>
      <c r="CB83" s="372">
        <f t="shared" ref="CB83:CK83" si="2">SUM(CB54:CB75)*$E16</f>
        <v>0.90042857142857169</v>
      </c>
      <c r="CC83" s="372">
        <f t="shared" si="2"/>
        <v>0.83042857142857152</v>
      </c>
      <c r="CD83" s="372">
        <f t="shared" si="2"/>
        <v>0.5804285714285714</v>
      </c>
      <c r="CE83" s="372">
        <f t="shared" si="2"/>
        <v>0.70042857142857151</v>
      </c>
      <c r="CF83" s="372">
        <f t="shared" si="2"/>
        <v>0.78042857142857147</v>
      </c>
      <c r="CG83" s="372">
        <f t="shared" si="2"/>
        <v>1.1404285714285716</v>
      </c>
      <c r="CH83" s="372">
        <f t="shared" si="2"/>
        <v>0.9404285714285715</v>
      </c>
      <c r="CI83" s="372">
        <f t="shared" si="2"/>
        <v>0.5804285714285714</v>
      </c>
      <c r="CJ83" s="450">
        <f t="shared" si="2"/>
        <v>0.30185714285714282</v>
      </c>
      <c r="CK83" s="372">
        <f t="shared" si="2"/>
        <v>0.37164285714285716</v>
      </c>
    </row>
    <row r="84" spans="2:89" ht="15.75" customHeight="1">
      <c r="B84" s="2" t="s">
        <v>569</v>
      </c>
      <c r="D84" s="610">
        <f t="shared" si="0"/>
        <v>2.7857142857499184E-3</v>
      </c>
      <c r="E84" s="372">
        <f>$F84*SUM(E54:E75)</f>
        <v>128.95500000000001</v>
      </c>
      <c r="F84" s="375">
        <v>0.15</v>
      </c>
      <c r="O84" s="372">
        <f t="shared" ref="O84:AT84" si="3">$F84*SUM(O54:O75)</f>
        <v>0</v>
      </c>
      <c r="P84" s="372">
        <f t="shared" si="3"/>
        <v>0</v>
      </c>
      <c r="Q84" s="372">
        <f t="shared" si="3"/>
        <v>0</v>
      </c>
      <c r="R84" s="372">
        <f t="shared" si="3"/>
        <v>0.41785714285714282</v>
      </c>
      <c r="S84" s="372">
        <f t="shared" si="3"/>
        <v>1.9269642857142855</v>
      </c>
      <c r="T84" s="372">
        <f t="shared" si="3"/>
        <v>4.6506428571428566</v>
      </c>
      <c r="U84" s="372">
        <f t="shared" si="3"/>
        <v>2.9106428571428573</v>
      </c>
      <c r="V84" s="372">
        <f t="shared" si="3"/>
        <v>4.7282142857142855</v>
      </c>
      <c r="W84" s="372">
        <f t="shared" si="3"/>
        <v>3.2132142857142854</v>
      </c>
      <c r="X84" s="372">
        <f t="shared" si="3"/>
        <v>2.550642857142857</v>
      </c>
      <c r="Y84" s="372">
        <f t="shared" si="3"/>
        <v>3.6306428571428575</v>
      </c>
      <c r="Z84" s="372">
        <f t="shared" si="3"/>
        <v>4.1106428571428575</v>
      </c>
      <c r="AA84" s="372">
        <f t="shared" si="3"/>
        <v>2.8382142857142854</v>
      </c>
      <c r="AB84" s="372">
        <f t="shared" si="3"/>
        <v>2.0256428571428566</v>
      </c>
      <c r="AC84" s="372">
        <f t="shared" si="3"/>
        <v>2.1006428571428573</v>
      </c>
      <c r="AD84" s="571">
        <f t="shared" si="3"/>
        <v>1.5756428571428571</v>
      </c>
      <c r="AE84" s="372">
        <f t="shared" si="3"/>
        <v>2.175642857142857</v>
      </c>
      <c r="AF84" s="372">
        <f t="shared" si="3"/>
        <v>1.4582142857142857</v>
      </c>
      <c r="AG84" s="372">
        <f t="shared" si="3"/>
        <v>2.5656428571428571</v>
      </c>
      <c r="AH84" s="372">
        <f t="shared" si="3"/>
        <v>3.6156428571428574</v>
      </c>
      <c r="AI84" s="372">
        <f t="shared" si="3"/>
        <v>1.4256428571428574</v>
      </c>
      <c r="AJ84" s="372">
        <f t="shared" si="3"/>
        <v>0.85821428571428571</v>
      </c>
      <c r="AK84" s="372">
        <f t="shared" si="3"/>
        <v>2.1606428571428573</v>
      </c>
      <c r="AL84" s="372">
        <f t="shared" si="3"/>
        <v>1.7706428571428572</v>
      </c>
      <c r="AM84" s="372">
        <f t="shared" si="3"/>
        <v>1.4256428571428572</v>
      </c>
      <c r="AN84" s="372">
        <f t="shared" si="3"/>
        <v>2.4032142857142857</v>
      </c>
      <c r="AO84" s="372">
        <f t="shared" si="3"/>
        <v>0.87064285714285716</v>
      </c>
      <c r="AP84" s="372">
        <f t="shared" si="3"/>
        <v>4.5306428571428565</v>
      </c>
      <c r="AQ84" s="372">
        <f t="shared" si="3"/>
        <v>2.8356428571428567</v>
      </c>
      <c r="AR84" s="372">
        <f t="shared" si="3"/>
        <v>1.4132142857142858</v>
      </c>
      <c r="AS84" s="372">
        <f t="shared" si="3"/>
        <v>1.4706428571428571</v>
      </c>
      <c r="AT84" s="372">
        <f t="shared" si="3"/>
        <v>1.3956428571428572</v>
      </c>
      <c r="AU84" s="372">
        <f t="shared" ref="AU84:BZ84" si="4">$F84*SUM(AU54:AU75)</f>
        <v>1.1706428571428571</v>
      </c>
      <c r="AV84" s="372">
        <f t="shared" si="4"/>
        <v>1.1582142857142856</v>
      </c>
      <c r="AW84" s="372">
        <f t="shared" si="4"/>
        <v>1.0506428571428572</v>
      </c>
      <c r="AX84" s="372">
        <f t="shared" si="4"/>
        <v>1.2756428571428571</v>
      </c>
      <c r="AY84" s="372">
        <f t="shared" si="4"/>
        <v>2.6706428571428571</v>
      </c>
      <c r="AZ84" s="372">
        <f t="shared" si="4"/>
        <v>1.7582142857142857</v>
      </c>
      <c r="BA84" s="372">
        <f t="shared" si="4"/>
        <v>1.6956428571428572</v>
      </c>
      <c r="BB84" s="372">
        <f t="shared" si="4"/>
        <v>1.0506428571428572</v>
      </c>
      <c r="BC84" s="372">
        <f t="shared" si="4"/>
        <v>1.2456428571428573</v>
      </c>
      <c r="BD84" s="372">
        <f t="shared" si="4"/>
        <v>0.85821428571428571</v>
      </c>
      <c r="BE84" s="372">
        <f t="shared" si="4"/>
        <v>1.1706428571428571</v>
      </c>
      <c r="BF84" s="372">
        <f t="shared" si="4"/>
        <v>1.7706428571428572</v>
      </c>
      <c r="BG84" s="372">
        <f t="shared" si="4"/>
        <v>1.4556428571428572</v>
      </c>
      <c r="BH84" s="372">
        <f t="shared" si="4"/>
        <v>1.4132142857142858</v>
      </c>
      <c r="BI84" s="372">
        <f t="shared" si="4"/>
        <v>0.87064285714285716</v>
      </c>
      <c r="BJ84" s="372">
        <f t="shared" si="4"/>
        <v>1.1706428571428571</v>
      </c>
      <c r="BK84" s="372">
        <f t="shared" si="4"/>
        <v>1.3506428571428575</v>
      </c>
      <c r="BL84" s="372">
        <f t="shared" si="4"/>
        <v>0.85821428571428571</v>
      </c>
      <c r="BM84" s="372">
        <f t="shared" si="4"/>
        <v>1.8456428571428571</v>
      </c>
      <c r="BN84" s="372">
        <f t="shared" si="4"/>
        <v>1.6956428571428572</v>
      </c>
      <c r="BO84" s="372">
        <f t="shared" si="4"/>
        <v>1.1706428571428571</v>
      </c>
      <c r="BP84" s="372">
        <f t="shared" si="4"/>
        <v>0.85821428571428571</v>
      </c>
      <c r="BQ84" s="372">
        <f t="shared" si="4"/>
        <v>3.2256428571428573</v>
      </c>
      <c r="BR84" s="372">
        <f t="shared" si="4"/>
        <v>1.1706428571428571</v>
      </c>
      <c r="BS84" s="372">
        <f t="shared" si="4"/>
        <v>1.4706428571428571</v>
      </c>
      <c r="BT84" s="372">
        <f t="shared" si="4"/>
        <v>1.7106428571428571</v>
      </c>
      <c r="BU84" s="372">
        <f t="shared" si="4"/>
        <v>3.1956428571428566</v>
      </c>
      <c r="BV84" s="372">
        <f t="shared" si="4"/>
        <v>2.5356428571428569</v>
      </c>
      <c r="BW84" s="372">
        <f t="shared" si="4"/>
        <v>1.0506428571428572</v>
      </c>
      <c r="BX84" s="372">
        <f t="shared" si="4"/>
        <v>0.87064285714285716</v>
      </c>
      <c r="BY84" s="372">
        <f t="shared" si="4"/>
        <v>1.2456428571428573</v>
      </c>
      <c r="BZ84" s="372">
        <f t="shared" si="4"/>
        <v>1.4706428571428571</v>
      </c>
      <c r="CA84" s="372">
        <f t="shared" ref="CA84:CK84" si="5">$F84*SUM(CA54:CA75)</f>
        <v>1.6956428571428572</v>
      </c>
      <c r="CB84" s="372">
        <f t="shared" si="5"/>
        <v>1.3506428571428575</v>
      </c>
      <c r="CC84" s="372">
        <f t="shared" si="5"/>
        <v>1.2456428571428573</v>
      </c>
      <c r="CD84" s="372">
        <f t="shared" si="5"/>
        <v>0.87064285714285716</v>
      </c>
      <c r="CE84" s="372">
        <f t="shared" si="5"/>
        <v>1.0506428571428572</v>
      </c>
      <c r="CF84" s="372">
        <f t="shared" si="5"/>
        <v>1.1706428571428571</v>
      </c>
      <c r="CG84" s="372">
        <f t="shared" si="5"/>
        <v>1.7106428571428571</v>
      </c>
      <c r="CH84" s="372">
        <f t="shared" si="5"/>
        <v>1.4106428571428571</v>
      </c>
      <c r="CI84" s="372">
        <f t="shared" si="5"/>
        <v>0.87064285714285716</v>
      </c>
      <c r="CJ84" s="450">
        <f t="shared" si="5"/>
        <v>0.45278571428571424</v>
      </c>
      <c r="CK84" s="372">
        <f t="shared" si="5"/>
        <v>0.55746428571428563</v>
      </c>
    </row>
    <row r="85" spans="2:89" ht="15.75" customHeight="1">
      <c r="B85" s="2" t="s">
        <v>650</v>
      </c>
      <c r="D85" s="610">
        <f t="shared" si="0"/>
        <v>0</v>
      </c>
      <c r="E85" s="372">
        <f>$F85*E54</f>
        <v>39</v>
      </c>
      <c r="F85" s="765">
        <v>0.1</v>
      </c>
      <c r="O85" s="372">
        <f t="shared" ref="O85:AT85" si="6">$F85*O54</f>
        <v>0</v>
      </c>
      <c r="P85" s="372">
        <f t="shared" si="6"/>
        <v>0</v>
      </c>
      <c r="Q85" s="372">
        <f t="shared" si="6"/>
        <v>0</v>
      </c>
      <c r="R85" s="372">
        <f t="shared" si="6"/>
        <v>0.27857142857142858</v>
      </c>
      <c r="S85" s="372">
        <f t="shared" si="6"/>
        <v>0.55714285714285716</v>
      </c>
      <c r="T85" s="372">
        <f t="shared" si="6"/>
        <v>0.55714285714285716</v>
      </c>
      <c r="U85" s="372">
        <f t="shared" si="6"/>
        <v>0.55714285714285716</v>
      </c>
      <c r="V85" s="372">
        <f t="shared" si="6"/>
        <v>0.55714285714285716</v>
      </c>
      <c r="W85" s="372">
        <f t="shared" si="6"/>
        <v>0.55714285714285716</v>
      </c>
      <c r="X85" s="372">
        <f t="shared" si="6"/>
        <v>0.55714285714285716</v>
      </c>
      <c r="Y85" s="372">
        <f t="shared" si="6"/>
        <v>0.55714285714285716</v>
      </c>
      <c r="Z85" s="372">
        <f t="shared" si="6"/>
        <v>0.55714285714285716</v>
      </c>
      <c r="AA85" s="372">
        <f t="shared" si="6"/>
        <v>0.55714285714285716</v>
      </c>
      <c r="AB85" s="372">
        <f t="shared" si="6"/>
        <v>0.55714285714285716</v>
      </c>
      <c r="AC85" s="372">
        <f t="shared" si="6"/>
        <v>0.55714285714285716</v>
      </c>
      <c r="AD85" s="571">
        <f t="shared" si="6"/>
        <v>0.55714285714285716</v>
      </c>
      <c r="AE85" s="372">
        <f t="shared" si="6"/>
        <v>0.55714285714285716</v>
      </c>
      <c r="AF85" s="372">
        <f t="shared" si="6"/>
        <v>0.55714285714285716</v>
      </c>
      <c r="AG85" s="372">
        <f t="shared" si="6"/>
        <v>0.55714285714285716</v>
      </c>
      <c r="AH85" s="372">
        <f t="shared" si="6"/>
        <v>0.55714285714285716</v>
      </c>
      <c r="AI85" s="372">
        <f t="shared" si="6"/>
        <v>0.55714285714285716</v>
      </c>
      <c r="AJ85" s="372">
        <f t="shared" si="6"/>
        <v>0.55714285714285716</v>
      </c>
      <c r="AK85" s="372">
        <f t="shared" si="6"/>
        <v>0.55714285714285716</v>
      </c>
      <c r="AL85" s="372">
        <f t="shared" si="6"/>
        <v>0.55714285714285716</v>
      </c>
      <c r="AM85" s="372">
        <f t="shared" si="6"/>
        <v>0.55714285714285716</v>
      </c>
      <c r="AN85" s="372">
        <f t="shared" si="6"/>
        <v>0.55714285714285716</v>
      </c>
      <c r="AO85" s="372">
        <f t="shared" si="6"/>
        <v>0.55714285714285716</v>
      </c>
      <c r="AP85" s="372">
        <f t="shared" si="6"/>
        <v>0.55714285714285716</v>
      </c>
      <c r="AQ85" s="372">
        <f t="shared" si="6"/>
        <v>0.55714285714285716</v>
      </c>
      <c r="AR85" s="372">
        <f t="shared" si="6"/>
        <v>0.55714285714285716</v>
      </c>
      <c r="AS85" s="372">
        <f t="shared" si="6"/>
        <v>0.55714285714285716</v>
      </c>
      <c r="AT85" s="372">
        <f t="shared" si="6"/>
        <v>0.55714285714285716</v>
      </c>
      <c r="AU85" s="372">
        <f t="shared" ref="AU85:BZ85" si="7">$F85*AU54</f>
        <v>0.55714285714285716</v>
      </c>
      <c r="AV85" s="372">
        <f t="shared" si="7"/>
        <v>0.55714285714285716</v>
      </c>
      <c r="AW85" s="372">
        <f t="shared" si="7"/>
        <v>0.55714285714285716</v>
      </c>
      <c r="AX85" s="372">
        <f t="shared" si="7"/>
        <v>0.55714285714285716</v>
      </c>
      <c r="AY85" s="372">
        <f t="shared" si="7"/>
        <v>0.55714285714285716</v>
      </c>
      <c r="AZ85" s="372">
        <f t="shared" si="7"/>
        <v>0.55714285714285716</v>
      </c>
      <c r="BA85" s="372">
        <f t="shared" si="7"/>
        <v>0.55714285714285716</v>
      </c>
      <c r="BB85" s="372">
        <f t="shared" si="7"/>
        <v>0.55714285714285716</v>
      </c>
      <c r="BC85" s="372">
        <f t="shared" si="7"/>
        <v>0.55714285714285716</v>
      </c>
      <c r="BD85" s="372">
        <f t="shared" si="7"/>
        <v>0.55714285714285716</v>
      </c>
      <c r="BE85" s="372">
        <f t="shared" si="7"/>
        <v>0.55714285714285716</v>
      </c>
      <c r="BF85" s="372">
        <f t="shared" si="7"/>
        <v>0.55714285714285716</v>
      </c>
      <c r="BG85" s="372">
        <f t="shared" si="7"/>
        <v>0.55714285714285716</v>
      </c>
      <c r="BH85" s="372">
        <f t="shared" si="7"/>
        <v>0.55714285714285716</v>
      </c>
      <c r="BI85" s="372">
        <f t="shared" si="7"/>
        <v>0.55714285714285716</v>
      </c>
      <c r="BJ85" s="372">
        <f t="shared" si="7"/>
        <v>0.55714285714285716</v>
      </c>
      <c r="BK85" s="372">
        <f t="shared" si="7"/>
        <v>0.55714285714285716</v>
      </c>
      <c r="BL85" s="372">
        <f t="shared" si="7"/>
        <v>0.55714285714285716</v>
      </c>
      <c r="BM85" s="372">
        <f t="shared" si="7"/>
        <v>0.55714285714285716</v>
      </c>
      <c r="BN85" s="372">
        <f t="shared" si="7"/>
        <v>0.55714285714285716</v>
      </c>
      <c r="BO85" s="372">
        <f t="shared" si="7"/>
        <v>0.55714285714285716</v>
      </c>
      <c r="BP85" s="372">
        <f t="shared" si="7"/>
        <v>0.55714285714285716</v>
      </c>
      <c r="BQ85" s="372">
        <f t="shared" si="7"/>
        <v>0.55714285714285716</v>
      </c>
      <c r="BR85" s="372">
        <f t="shared" si="7"/>
        <v>0.55714285714285716</v>
      </c>
      <c r="BS85" s="372">
        <f t="shared" si="7"/>
        <v>0.55714285714285716</v>
      </c>
      <c r="BT85" s="372">
        <f t="shared" si="7"/>
        <v>0.55714285714285716</v>
      </c>
      <c r="BU85" s="372">
        <f t="shared" si="7"/>
        <v>0.55714285714285716</v>
      </c>
      <c r="BV85" s="372">
        <f t="shared" si="7"/>
        <v>0.55714285714285716</v>
      </c>
      <c r="BW85" s="372">
        <f t="shared" si="7"/>
        <v>0.55714285714285716</v>
      </c>
      <c r="BX85" s="372">
        <f t="shared" si="7"/>
        <v>0.55714285714285716</v>
      </c>
      <c r="BY85" s="372">
        <f t="shared" si="7"/>
        <v>0.55714285714285716</v>
      </c>
      <c r="BZ85" s="372">
        <f t="shared" si="7"/>
        <v>0.55714285714285716</v>
      </c>
      <c r="CA85" s="372">
        <f t="shared" ref="CA85:CK85" si="8">$F85*CA54</f>
        <v>0.55714285714285716</v>
      </c>
      <c r="CB85" s="372">
        <f t="shared" si="8"/>
        <v>0.55714285714285716</v>
      </c>
      <c r="CC85" s="372">
        <f t="shared" si="8"/>
        <v>0.55714285714285716</v>
      </c>
      <c r="CD85" s="372">
        <f t="shared" si="8"/>
        <v>0.55714285714285716</v>
      </c>
      <c r="CE85" s="372">
        <f t="shared" si="8"/>
        <v>0.55714285714285716</v>
      </c>
      <c r="CF85" s="372">
        <f t="shared" si="8"/>
        <v>0.55714285714285716</v>
      </c>
      <c r="CG85" s="372">
        <f t="shared" si="8"/>
        <v>0.55714285714285716</v>
      </c>
      <c r="CH85" s="372">
        <f t="shared" si="8"/>
        <v>0.55714285714285716</v>
      </c>
      <c r="CI85" s="372">
        <f t="shared" si="8"/>
        <v>0.55714285714285716</v>
      </c>
      <c r="CJ85" s="450">
        <f t="shared" si="8"/>
        <v>0.27857142857142858</v>
      </c>
      <c r="CK85" s="372">
        <f t="shared" si="8"/>
        <v>0</v>
      </c>
    </row>
    <row r="86" spans="2:89" ht="15.75" customHeight="1">
      <c r="B86" s="2" t="s">
        <v>651</v>
      </c>
      <c r="D86" s="610">
        <f t="shared" si="0"/>
        <v>0</v>
      </c>
      <c r="E86" s="372">
        <f>SUM(E55:E58)*$F86</f>
        <v>27.52</v>
      </c>
      <c r="F86" s="765">
        <v>0.1</v>
      </c>
      <c r="O86" s="372">
        <f t="shared" ref="O86:AT86" si="9">SUM(O55:O58)*$F86</f>
        <v>0</v>
      </c>
      <c r="P86" s="372">
        <f t="shared" si="9"/>
        <v>0</v>
      </c>
      <c r="Q86" s="372">
        <f t="shared" si="9"/>
        <v>0</v>
      </c>
      <c r="R86" s="372">
        <f t="shared" si="9"/>
        <v>0</v>
      </c>
      <c r="S86" s="372">
        <f t="shared" si="9"/>
        <v>0.50750000000000006</v>
      </c>
      <c r="T86" s="372">
        <f t="shared" si="9"/>
        <v>0.71500000000000008</v>
      </c>
      <c r="U86" s="372">
        <f t="shared" si="9"/>
        <v>1.4999999999999999E-2</v>
      </c>
      <c r="V86" s="372">
        <f t="shared" si="9"/>
        <v>1.4999999999999999E-2</v>
      </c>
      <c r="W86" s="372">
        <f t="shared" si="9"/>
        <v>1.4999999999999999E-2</v>
      </c>
      <c r="X86" s="372">
        <f t="shared" si="9"/>
        <v>0.7350000000000001</v>
      </c>
      <c r="Y86" s="372">
        <f t="shared" si="9"/>
        <v>0.56500000000000006</v>
      </c>
      <c r="Z86" s="372">
        <f t="shared" si="9"/>
        <v>1.3450000000000002</v>
      </c>
      <c r="AA86" s="372">
        <f t="shared" si="9"/>
        <v>1.125</v>
      </c>
      <c r="AB86" s="372">
        <f t="shared" si="9"/>
        <v>1.4999999999999999E-2</v>
      </c>
      <c r="AC86" s="372">
        <f t="shared" si="9"/>
        <v>0.33500000000000002</v>
      </c>
      <c r="AD86" s="571">
        <f t="shared" si="9"/>
        <v>0.46500000000000008</v>
      </c>
      <c r="AE86" s="372">
        <f t="shared" si="9"/>
        <v>1.4999999999999999E-2</v>
      </c>
      <c r="AF86" s="372">
        <f t="shared" si="9"/>
        <v>0.41500000000000004</v>
      </c>
      <c r="AG86" s="372">
        <f t="shared" si="9"/>
        <v>0.56500000000000006</v>
      </c>
      <c r="AH86" s="372">
        <f t="shared" si="9"/>
        <v>0.97500000000000009</v>
      </c>
      <c r="AI86" s="372">
        <f t="shared" si="9"/>
        <v>0.38500000000000001</v>
      </c>
      <c r="AJ86" s="372">
        <f t="shared" si="9"/>
        <v>1.4999999999999999E-2</v>
      </c>
      <c r="AK86" s="372">
        <f t="shared" si="9"/>
        <v>0.215</v>
      </c>
      <c r="AL86" s="372">
        <f t="shared" si="9"/>
        <v>0.6150000000000001</v>
      </c>
      <c r="AM86" s="372">
        <f t="shared" si="9"/>
        <v>0.36499999999999999</v>
      </c>
      <c r="AN86" s="372">
        <f t="shared" si="9"/>
        <v>0.38500000000000001</v>
      </c>
      <c r="AO86" s="372">
        <f t="shared" si="9"/>
        <v>1.4999999999999999E-2</v>
      </c>
      <c r="AP86" s="372">
        <f t="shared" si="9"/>
        <v>1.3150000000000002</v>
      </c>
      <c r="AQ86" s="372">
        <f t="shared" si="9"/>
        <v>1.3250000000000002</v>
      </c>
      <c r="AR86" s="372">
        <f t="shared" si="9"/>
        <v>0.38500000000000001</v>
      </c>
      <c r="AS86" s="372">
        <f t="shared" si="9"/>
        <v>0.41500000000000004</v>
      </c>
      <c r="AT86" s="372">
        <f t="shared" si="9"/>
        <v>0.36499999999999999</v>
      </c>
      <c r="AU86" s="372">
        <f t="shared" ref="AU86:BZ86" si="10">SUM(AU55:AU58)*$F86</f>
        <v>0.215</v>
      </c>
      <c r="AV86" s="372">
        <f t="shared" si="10"/>
        <v>0.215</v>
      </c>
      <c r="AW86" s="372">
        <f t="shared" si="10"/>
        <v>0.13499999999999998</v>
      </c>
      <c r="AX86" s="372">
        <f t="shared" si="10"/>
        <v>0.26500000000000001</v>
      </c>
      <c r="AY86" s="372">
        <f t="shared" si="10"/>
        <v>1.4999999999999999E-2</v>
      </c>
      <c r="AZ86" s="372">
        <f t="shared" si="10"/>
        <v>0.6150000000000001</v>
      </c>
      <c r="BA86" s="372">
        <f t="shared" si="10"/>
        <v>0.56500000000000006</v>
      </c>
      <c r="BB86" s="372">
        <f t="shared" si="10"/>
        <v>0.13499999999999998</v>
      </c>
      <c r="BC86" s="372">
        <f t="shared" si="10"/>
        <v>0.26500000000000001</v>
      </c>
      <c r="BD86" s="372">
        <f t="shared" si="10"/>
        <v>1.4999999999999999E-2</v>
      </c>
      <c r="BE86" s="372">
        <f t="shared" si="10"/>
        <v>0.215</v>
      </c>
      <c r="BF86" s="372">
        <f t="shared" si="10"/>
        <v>0.6150000000000001</v>
      </c>
      <c r="BG86" s="372">
        <f t="shared" si="10"/>
        <v>0.36499999999999999</v>
      </c>
      <c r="BH86" s="372">
        <f t="shared" si="10"/>
        <v>0.38500000000000001</v>
      </c>
      <c r="BI86" s="372">
        <f t="shared" si="10"/>
        <v>1.4999999999999999E-2</v>
      </c>
      <c r="BJ86" s="372">
        <f t="shared" si="10"/>
        <v>0.215</v>
      </c>
      <c r="BK86" s="372">
        <f t="shared" si="10"/>
        <v>0.33500000000000002</v>
      </c>
      <c r="BL86" s="372">
        <f t="shared" si="10"/>
        <v>1.4999999999999999E-2</v>
      </c>
      <c r="BM86" s="372">
        <f t="shared" si="10"/>
        <v>0.66500000000000004</v>
      </c>
      <c r="BN86" s="372">
        <f t="shared" si="10"/>
        <v>0.56500000000000006</v>
      </c>
      <c r="BO86" s="372">
        <f t="shared" si="10"/>
        <v>0.215</v>
      </c>
      <c r="BP86" s="372">
        <f t="shared" si="10"/>
        <v>1.4999999999999999E-2</v>
      </c>
      <c r="BQ86" s="372">
        <f t="shared" si="10"/>
        <v>0.43500000000000005</v>
      </c>
      <c r="BR86" s="372">
        <f t="shared" si="10"/>
        <v>1.4999999999999999E-2</v>
      </c>
      <c r="BS86" s="372">
        <f t="shared" si="10"/>
        <v>0.41500000000000004</v>
      </c>
      <c r="BT86" s="372">
        <f t="shared" si="10"/>
        <v>0.57500000000000007</v>
      </c>
      <c r="BU86" s="372">
        <f t="shared" si="10"/>
        <v>1.5650000000000002</v>
      </c>
      <c r="BV86" s="372">
        <f t="shared" si="10"/>
        <v>1.125</v>
      </c>
      <c r="BW86" s="372">
        <f t="shared" si="10"/>
        <v>0.13499999999999998</v>
      </c>
      <c r="BX86" s="372">
        <f t="shared" si="10"/>
        <v>1.4999999999999999E-2</v>
      </c>
      <c r="BY86" s="372">
        <f t="shared" si="10"/>
        <v>0.26500000000000001</v>
      </c>
      <c r="BZ86" s="372">
        <f t="shared" si="10"/>
        <v>0.41500000000000004</v>
      </c>
      <c r="CA86" s="372">
        <f t="shared" ref="CA86:CK86" si="11">SUM(CA55:CA58)*$F86</f>
        <v>0.56500000000000006</v>
      </c>
      <c r="CB86" s="372">
        <f t="shared" si="11"/>
        <v>0.33500000000000002</v>
      </c>
      <c r="CC86" s="372">
        <f t="shared" si="11"/>
        <v>0.26500000000000001</v>
      </c>
      <c r="CD86" s="372">
        <f t="shared" si="11"/>
        <v>1.4999999999999999E-2</v>
      </c>
      <c r="CE86" s="372">
        <f t="shared" si="11"/>
        <v>0.13499999999999998</v>
      </c>
      <c r="CF86" s="372">
        <f t="shared" si="11"/>
        <v>0.215</v>
      </c>
      <c r="CG86" s="372">
        <f t="shared" si="11"/>
        <v>0.57500000000000007</v>
      </c>
      <c r="CH86" s="372">
        <f t="shared" si="11"/>
        <v>0.375</v>
      </c>
      <c r="CI86" s="372">
        <f t="shared" si="11"/>
        <v>1.4999999999999999E-2</v>
      </c>
      <c r="CJ86" s="450">
        <f t="shared" si="11"/>
        <v>1.4999999999999999E-2</v>
      </c>
      <c r="CK86" s="372">
        <f t="shared" si="11"/>
        <v>0.36749999999999999</v>
      </c>
    </row>
    <row r="87" spans="2:89" ht="15.75" customHeight="1">
      <c r="B87" s="2" t="s">
        <v>652</v>
      </c>
      <c r="C87" s="757">
        <f>SUM(E59:E75)/(E90-SUM(E85:E87))</f>
        <v>0.16258318954304093</v>
      </c>
      <c r="D87" s="610">
        <f t="shared" si="0"/>
        <v>7.4285714283774951E-3</v>
      </c>
      <c r="E87" s="372">
        <f>$F87* SUM(E59:E75)</f>
        <v>77.800000000000011</v>
      </c>
      <c r="F87" s="373">
        <f>E29</f>
        <v>0.4</v>
      </c>
      <c r="O87" s="372">
        <f t="shared" ref="O87:AT87" si="12">$F87* SUM(O59:O75)</f>
        <v>0</v>
      </c>
      <c r="P87" s="372">
        <f t="shared" si="12"/>
        <v>0</v>
      </c>
      <c r="Q87" s="372">
        <f t="shared" si="12"/>
        <v>0</v>
      </c>
      <c r="R87" s="372">
        <f t="shared" si="12"/>
        <v>0</v>
      </c>
      <c r="S87" s="372">
        <f t="shared" si="12"/>
        <v>0.88000000000000012</v>
      </c>
      <c r="T87" s="372">
        <f t="shared" si="12"/>
        <v>7.3131428571428572</v>
      </c>
      <c r="U87" s="372">
        <f t="shared" si="12"/>
        <v>5.4731428571428573</v>
      </c>
      <c r="V87" s="372">
        <f t="shared" si="12"/>
        <v>10.32</v>
      </c>
      <c r="W87" s="372">
        <f t="shared" si="12"/>
        <v>6.28</v>
      </c>
      <c r="X87" s="372">
        <f t="shared" si="12"/>
        <v>1.6331428571428572</v>
      </c>
      <c r="Y87" s="372">
        <f t="shared" si="12"/>
        <v>5.1931428571428571</v>
      </c>
      <c r="Z87" s="372">
        <f t="shared" si="12"/>
        <v>3.3531428571428572</v>
      </c>
      <c r="AA87" s="372">
        <f t="shared" si="12"/>
        <v>0.84000000000000008</v>
      </c>
      <c r="AB87" s="372">
        <f t="shared" si="12"/>
        <v>3.1131428571428574</v>
      </c>
      <c r="AC87" s="372">
        <f t="shared" si="12"/>
        <v>2.0331428571428574</v>
      </c>
      <c r="AD87" s="571">
        <f t="shared" si="12"/>
        <v>0.11314285714285716</v>
      </c>
      <c r="AE87" s="372">
        <f t="shared" si="12"/>
        <v>3.5131428571428573</v>
      </c>
      <c r="AF87" s="372">
        <f t="shared" si="12"/>
        <v>0</v>
      </c>
      <c r="AG87" s="372">
        <f t="shared" si="12"/>
        <v>2.3531428571428572</v>
      </c>
      <c r="AH87" s="372">
        <f t="shared" si="12"/>
        <v>3.5131428571428573</v>
      </c>
      <c r="AI87" s="372">
        <f t="shared" si="12"/>
        <v>3.3142857142857141E-2</v>
      </c>
      <c r="AJ87" s="372">
        <f t="shared" si="12"/>
        <v>0</v>
      </c>
      <c r="AK87" s="372">
        <f t="shared" si="12"/>
        <v>2.6731428571428575</v>
      </c>
      <c r="AL87" s="372">
        <f t="shared" si="12"/>
        <v>3.3142857142857141E-2</v>
      </c>
      <c r="AM87" s="372">
        <f t="shared" si="12"/>
        <v>0.11314285714285716</v>
      </c>
      <c r="AN87" s="372">
        <f t="shared" si="12"/>
        <v>2.64</v>
      </c>
      <c r="AO87" s="372">
        <f t="shared" si="12"/>
        <v>3.3142857142857141E-2</v>
      </c>
      <c r="AP87" s="372">
        <f t="shared" si="12"/>
        <v>4.5931428571428574</v>
      </c>
      <c r="AQ87" s="372">
        <f t="shared" si="12"/>
        <v>3.3142857142857141E-2</v>
      </c>
      <c r="AR87" s="372">
        <f t="shared" si="12"/>
        <v>0</v>
      </c>
      <c r="AS87" s="372">
        <f t="shared" si="12"/>
        <v>3.3142857142857141E-2</v>
      </c>
      <c r="AT87" s="372">
        <f t="shared" si="12"/>
        <v>3.3142857142857141E-2</v>
      </c>
      <c r="AU87" s="372">
        <f t="shared" ref="AU87:BZ87" si="13">$F87* SUM(AU59:AU75)</f>
        <v>3.3142857142857141E-2</v>
      </c>
      <c r="AV87" s="372">
        <f t="shared" si="13"/>
        <v>0</v>
      </c>
      <c r="AW87" s="372">
        <f t="shared" si="13"/>
        <v>3.3142857142857141E-2</v>
      </c>
      <c r="AX87" s="372">
        <f t="shared" si="13"/>
        <v>0.11314285714285716</v>
      </c>
      <c r="AY87" s="372">
        <f t="shared" si="13"/>
        <v>4.8331428571428576</v>
      </c>
      <c r="AZ87" s="372">
        <f t="shared" si="13"/>
        <v>0</v>
      </c>
      <c r="BA87" s="372">
        <f t="shared" si="13"/>
        <v>3.3142857142857141E-2</v>
      </c>
      <c r="BB87" s="372">
        <f t="shared" si="13"/>
        <v>3.3142857142857141E-2</v>
      </c>
      <c r="BC87" s="372">
        <f t="shared" si="13"/>
        <v>3.3142857142857141E-2</v>
      </c>
      <c r="BD87" s="372">
        <f t="shared" si="13"/>
        <v>0</v>
      </c>
      <c r="BE87" s="372">
        <f t="shared" si="13"/>
        <v>3.3142857142857141E-2</v>
      </c>
      <c r="BF87" s="372">
        <f t="shared" si="13"/>
        <v>3.3142857142857141E-2</v>
      </c>
      <c r="BG87" s="372">
        <f t="shared" si="13"/>
        <v>0.19314285714285717</v>
      </c>
      <c r="BH87" s="372">
        <f t="shared" si="13"/>
        <v>0</v>
      </c>
      <c r="BI87" s="372">
        <f t="shared" si="13"/>
        <v>3.3142857142857141E-2</v>
      </c>
      <c r="BJ87" s="372">
        <f t="shared" si="13"/>
        <v>3.3142857142857141E-2</v>
      </c>
      <c r="BK87" s="372">
        <f t="shared" si="13"/>
        <v>3.3142857142857141E-2</v>
      </c>
      <c r="BL87" s="372">
        <f t="shared" si="13"/>
        <v>0</v>
      </c>
      <c r="BM87" s="372">
        <f t="shared" si="13"/>
        <v>3.3142857142857141E-2</v>
      </c>
      <c r="BN87" s="372">
        <f t="shared" si="13"/>
        <v>3.3142857142857141E-2</v>
      </c>
      <c r="BO87" s="372">
        <f t="shared" si="13"/>
        <v>3.3142857142857141E-2</v>
      </c>
      <c r="BP87" s="372">
        <f t="shared" si="13"/>
        <v>0</v>
      </c>
      <c r="BQ87" s="372">
        <f t="shared" si="13"/>
        <v>4.6331428571428575</v>
      </c>
      <c r="BR87" s="372">
        <f t="shared" si="13"/>
        <v>0.83314285714285718</v>
      </c>
      <c r="BS87" s="372">
        <f t="shared" si="13"/>
        <v>3.3142857142857141E-2</v>
      </c>
      <c r="BT87" s="372">
        <f t="shared" si="13"/>
        <v>3.3142857142857141E-2</v>
      </c>
      <c r="BU87" s="372">
        <f t="shared" si="13"/>
        <v>3.3142857142857141E-2</v>
      </c>
      <c r="BV87" s="372">
        <f t="shared" si="13"/>
        <v>3.3142857142857141E-2</v>
      </c>
      <c r="BW87" s="372">
        <f t="shared" si="13"/>
        <v>3.3142857142857141E-2</v>
      </c>
      <c r="BX87" s="372">
        <f t="shared" si="13"/>
        <v>3.3142857142857141E-2</v>
      </c>
      <c r="BY87" s="372">
        <f t="shared" si="13"/>
        <v>3.3142857142857141E-2</v>
      </c>
      <c r="BZ87" s="372">
        <f t="shared" si="13"/>
        <v>3.3142857142857141E-2</v>
      </c>
      <c r="CA87" s="372">
        <f t="shared" ref="CA87:CK87" si="14">$F87* SUM(CA59:CA75)</f>
        <v>3.3142857142857141E-2</v>
      </c>
      <c r="CB87" s="372">
        <f t="shared" si="14"/>
        <v>3.3142857142857141E-2</v>
      </c>
      <c r="CC87" s="372">
        <f t="shared" si="14"/>
        <v>3.3142857142857141E-2</v>
      </c>
      <c r="CD87" s="372">
        <f t="shared" si="14"/>
        <v>3.3142857142857141E-2</v>
      </c>
      <c r="CE87" s="372">
        <f t="shared" si="14"/>
        <v>3.3142857142857141E-2</v>
      </c>
      <c r="CF87" s="372">
        <f t="shared" si="14"/>
        <v>3.3142857142857141E-2</v>
      </c>
      <c r="CG87" s="372">
        <f t="shared" si="14"/>
        <v>3.3142857142857141E-2</v>
      </c>
      <c r="CH87" s="372">
        <f t="shared" si="14"/>
        <v>3.3142857142857141E-2</v>
      </c>
      <c r="CI87" s="372">
        <f t="shared" si="14"/>
        <v>3.3142857142857141E-2</v>
      </c>
      <c r="CJ87" s="450">
        <f t="shared" si="14"/>
        <v>3.3142857142857141E-2</v>
      </c>
      <c r="CK87" s="372">
        <f t="shared" si="14"/>
        <v>1.657142857142857E-2</v>
      </c>
    </row>
    <row r="88" spans="2:89" ht="15.75" customHeight="1">
      <c r="D88" s="372">
        <f>$F88* SUM(D60:D76)</f>
        <v>0</v>
      </c>
      <c r="E88" s="372">
        <f>$F88* SUM(E60:E76)</f>
        <v>0</v>
      </c>
      <c r="F88" s="373"/>
      <c r="O88" s="372"/>
      <c r="P88" s="372"/>
      <c r="Q88" s="372"/>
      <c r="R88" s="372"/>
      <c r="S88" s="372"/>
      <c r="T88" s="372"/>
      <c r="U88" s="372"/>
      <c r="V88" s="372"/>
      <c r="W88" s="372"/>
      <c r="X88" s="372"/>
      <c r="Y88" s="372"/>
      <c r="Z88" s="372"/>
      <c r="AA88" s="372"/>
      <c r="AB88" s="372"/>
      <c r="AC88" s="372"/>
      <c r="AD88" s="571"/>
      <c r="AE88" s="372"/>
      <c r="AF88" s="372"/>
      <c r="AG88" s="372"/>
      <c r="AH88" s="372"/>
      <c r="AI88" s="372"/>
      <c r="AJ88" s="372"/>
      <c r="AK88" s="372"/>
      <c r="AL88" s="372"/>
      <c r="AM88" s="372"/>
      <c r="AN88" s="372"/>
      <c r="AO88" s="372"/>
      <c r="AP88" s="372"/>
      <c r="AQ88" s="372"/>
      <c r="AR88" s="372"/>
      <c r="AS88" s="372"/>
      <c r="AT88" s="372"/>
      <c r="AU88" s="372"/>
      <c r="AV88" s="372"/>
      <c r="AW88" s="372"/>
      <c r="AX88" s="372"/>
      <c r="AY88" s="372"/>
      <c r="AZ88" s="372"/>
      <c r="BA88" s="372"/>
      <c r="BB88" s="372"/>
      <c r="BC88" s="372"/>
      <c r="BD88" s="372"/>
      <c r="BE88" s="372"/>
      <c r="BF88" s="372"/>
      <c r="BG88" s="372"/>
      <c r="BH88" s="372"/>
      <c r="BI88" s="372"/>
      <c r="BJ88" s="372"/>
      <c r="BK88" s="372"/>
      <c r="BL88" s="372"/>
      <c r="BM88" s="372"/>
      <c r="BN88" s="372"/>
      <c r="BO88" s="372"/>
      <c r="BP88" s="372"/>
      <c r="BQ88" s="372"/>
      <c r="BR88" s="372"/>
      <c r="BS88" s="372"/>
      <c r="BT88" s="372"/>
      <c r="BU88" s="372"/>
      <c r="BV88" s="372"/>
      <c r="BW88" s="372"/>
      <c r="BX88" s="372"/>
      <c r="BY88" s="372"/>
      <c r="BZ88" s="372"/>
      <c r="CA88" s="372"/>
      <c r="CB88" s="372"/>
      <c r="CC88" s="372"/>
      <c r="CD88" s="372"/>
      <c r="CE88" s="372"/>
      <c r="CF88" s="372"/>
      <c r="CG88" s="372"/>
      <c r="CH88" s="372"/>
      <c r="CI88" s="372"/>
      <c r="CJ88" s="450"/>
      <c r="CK88" s="372"/>
    </row>
    <row r="89" spans="2:89" ht="15.75" customHeight="1">
      <c r="B89" s="2" t="s">
        <v>633</v>
      </c>
      <c r="D89" s="610">
        <f t="shared" si="0"/>
        <v>0</v>
      </c>
      <c r="E89" s="372">
        <f>SUM(O89:CK89)</f>
        <v>-0.11435714285716614</v>
      </c>
      <c r="F89" s="437"/>
      <c r="R89" s="440">
        <v>3.9285714285715478E-2</v>
      </c>
      <c r="S89" s="440">
        <v>0.37232142857143558</v>
      </c>
      <c r="T89" s="440">
        <v>0.10935714285714226</v>
      </c>
      <c r="U89" s="440">
        <v>0.14935714285714141</v>
      </c>
      <c r="V89" s="440">
        <v>0.15607142857143685</v>
      </c>
      <c r="W89" s="440">
        <v>0.12107142857142605</v>
      </c>
      <c r="X89" s="440">
        <v>0.16935714285714454</v>
      </c>
      <c r="Y89" s="440">
        <v>0.17935714285713544</v>
      </c>
      <c r="Z89" s="440">
        <v>0.53935714285714909</v>
      </c>
      <c r="AA89" s="440">
        <v>0.17607142857143288</v>
      </c>
      <c r="AB89" s="440">
        <v>0.28435714285714297</v>
      </c>
      <c r="AC89" s="440">
        <v>0.11935714285714027</v>
      </c>
      <c r="AD89" s="575">
        <v>0.2843571428571412</v>
      </c>
      <c r="AE89" s="440">
        <v>0.13435714285714084</v>
      </c>
      <c r="AF89" s="440">
        <v>1.2260714285714283</v>
      </c>
      <c r="AG89" s="440">
        <v>0.19435714285714312</v>
      </c>
      <c r="AH89" s="440">
        <v>0.27435714285714141</v>
      </c>
      <c r="AI89" s="440">
        <v>0.19435714285713956</v>
      </c>
      <c r="AJ89" s="440">
        <v>0.22607142857142648</v>
      </c>
      <c r="AK89" s="440">
        <v>0.19935714285714212</v>
      </c>
      <c r="AL89" s="440">
        <v>0.28935714285714553</v>
      </c>
      <c r="AM89" s="440">
        <v>0.13435714285714084</v>
      </c>
      <c r="AN89" s="440">
        <v>0.2410714285714306</v>
      </c>
      <c r="AO89" s="440">
        <v>0.18935714285714056</v>
      </c>
      <c r="AP89" s="440">
        <v>0.32935714285714823</v>
      </c>
      <c r="AQ89" s="440">
        <v>0.20435714285714823</v>
      </c>
      <c r="AR89" s="440">
        <v>0.13107142857142762</v>
      </c>
      <c r="AS89" s="440">
        <v>0.3893571428571434</v>
      </c>
      <c r="AT89" s="440">
        <v>0.16435714285714198</v>
      </c>
      <c r="AU89" s="440">
        <v>0.28935714285714198</v>
      </c>
      <c r="AV89" s="440">
        <v>0.42607142857142932</v>
      </c>
      <c r="AW89" s="440">
        <v>0.26935714285714241</v>
      </c>
      <c r="AX89" s="440">
        <v>8.4357142857140133E-2</v>
      </c>
      <c r="AY89" s="440">
        <v>0.28935714285714553</v>
      </c>
      <c r="AZ89" s="440">
        <v>0.22607142857143003</v>
      </c>
      <c r="BA89" s="440">
        <v>0.2643571428571434</v>
      </c>
      <c r="BB89" s="440">
        <v>-3.0642857142858304E-2</v>
      </c>
      <c r="BC89" s="440">
        <v>1.4357142857141625E-2</v>
      </c>
      <c r="BD89" s="440">
        <v>0.12607142857142506</v>
      </c>
      <c r="BE89" s="440">
        <v>-1.064285714285873E-2</v>
      </c>
      <c r="BF89" s="440">
        <v>-1.0642857142855178E-2</v>
      </c>
      <c r="BG89" s="440">
        <v>-0.29564285714286065</v>
      </c>
      <c r="BH89" s="440">
        <v>-6.8928571428573449E-2</v>
      </c>
      <c r="BI89" s="440">
        <v>-1.064285714285873E-2</v>
      </c>
      <c r="BJ89" s="440">
        <v>-0.21064285714285802</v>
      </c>
      <c r="BK89" s="440">
        <v>-3.0642857142861857E-2</v>
      </c>
      <c r="BL89" s="440">
        <v>0.12607142857142684</v>
      </c>
      <c r="BM89" s="440">
        <v>1.4357142857143401E-2</v>
      </c>
      <c r="BN89" s="440">
        <v>-0.13564285714285873</v>
      </c>
      <c r="BO89" s="440">
        <v>-1.064285714285873E-2</v>
      </c>
      <c r="BP89" s="440">
        <v>-0.77392857142857352</v>
      </c>
      <c r="BQ89" s="440">
        <v>-5.5642857142856883E-2</v>
      </c>
      <c r="BR89" s="440">
        <v>0.28935714285714198</v>
      </c>
      <c r="BS89" s="440">
        <v>-0.1106428571428566</v>
      </c>
      <c r="BT89" s="440">
        <v>-0.37064285714285461</v>
      </c>
      <c r="BU89" s="440">
        <v>-0.23564285714284949</v>
      </c>
      <c r="BV89" s="440">
        <v>-0.1956428571428539</v>
      </c>
      <c r="BW89" s="440">
        <v>-0.13064285714285973</v>
      </c>
      <c r="BX89" s="440">
        <v>-0.2106428571428598</v>
      </c>
      <c r="BY89" s="440">
        <v>-0.18564285714285944</v>
      </c>
      <c r="BZ89" s="440">
        <v>-0.21064285714286157</v>
      </c>
      <c r="CA89" s="440">
        <v>-0.33564285714285802</v>
      </c>
      <c r="CB89" s="440">
        <v>-0.6306428571428615</v>
      </c>
      <c r="CC89" s="440">
        <v>-0.68564285714285944</v>
      </c>
      <c r="CD89" s="440">
        <v>-0.61064285714285838</v>
      </c>
      <c r="CE89" s="440">
        <v>-0.63064285714285973</v>
      </c>
      <c r="CF89" s="440">
        <v>-0.61064285714285838</v>
      </c>
      <c r="CG89" s="440">
        <v>-0.67064285714285532</v>
      </c>
      <c r="CH89" s="440">
        <v>-0.67064285714285887</v>
      </c>
      <c r="CI89" s="440">
        <v>-0.61064285714285838</v>
      </c>
      <c r="CJ89" s="614">
        <v>-0.64992857142857119</v>
      </c>
      <c r="CK89" s="440">
        <v>-0.35460714285714268</v>
      </c>
    </row>
    <row r="90" spans="2:89" ht="15.75" customHeight="1" thickBot="1">
      <c r="B90" s="2" t="s">
        <v>570</v>
      </c>
      <c r="C90" s="373"/>
      <c r="D90" s="610">
        <f t="shared" si="0"/>
        <v>3.0642857143220681E-2</v>
      </c>
      <c r="E90" s="441">
        <f>SUM(E54:E89)</f>
        <v>1340.6306428571427</v>
      </c>
      <c r="F90" s="521" t="s">
        <v>611</v>
      </c>
      <c r="O90" s="441">
        <f t="shared" ref="O90:BZ90" si="15">SUM(O54:O89)</f>
        <v>0</v>
      </c>
      <c r="P90" s="441">
        <f t="shared" si="15"/>
        <v>1.4</v>
      </c>
      <c r="Q90" s="441">
        <f t="shared" si="15"/>
        <v>1.4</v>
      </c>
      <c r="R90" s="441">
        <f t="shared" si="15"/>
        <v>5.2</v>
      </c>
      <c r="S90" s="441">
        <f t="shared" si="15"/>
        <v>22</v>
      </c>
      <c r="T90" s="441">
        <f t="shared" si="15"/>
        <v>48.5</v>
      </c>
      <c r="U90" s="441">
        <f t="shared" si="15"/>
        <v>31.5</v>
      </c>
      <c r="V90" s="441">
        <f t="shared" si="15"/>
        <v>51.5</v>
      </c>
      <c r="W90" s="441">
        <f t="shared" si="15"/>
        <v>34.799999999999997</v>
      </c>
      <c r="X90" s="441">
        <f t="shared" si="15"/>
        <v>25.4</v>
      </c>
      <c r="Y90" s="441">
        <f t="shared" si="15"/>
        <v>37.799999999999997</v>
      </c>
      <c r="Z90" s="441">
        <f t="shared" si="15"/>
        <v>41.1</v>
      </c>
      <c r="AA90" s="441">
        <f t="shared" si="15"/>
        <v>30.6</v>
      </c>
      <c r="AB90" s="441">
        <f t="shared" si="15"/>
        <v>21.9</v>
      </c>
      <c r="AC90" s="441">
        <f t="shared" si="15"/>
        <v>21.6</v>
      </c>
      <c r="AD90" s="572">
        <f t="shared" si="15"/>
        <v>15.6</v>
      </c>
      <c r="AE90" s="441">
        <f t="shared" si="15"/>
        <v>23.4</v>
      </c>
      <c r="AF90" s="441">
        <f t="shared" si="15"/>
        <v>15.4</v>
      </c>
      <c r="AG90" s="441">
        <f t="shared" si="15"/>
        <v>26.1</v>
      </c>
      <c r="AH90" s="441">
        <f t="shared" si="15"/>
        <v>36.5</v>
      </c>
      <c r="AI90" s="441">
        <f t="shared" si="15"/>
        <v>17.2</v>
      </c>
      <c r="AJ90" s="441">
        <f t="shared" si="15"/>
        <v>9</v>
      </c>
      <c r="AK90" s="441">
        <f t="shared" si="15"/>
        <v>22.7</v>
      </c>
      <c r="AL90" s="441">
        <f t="shared" si="15"/>
        <v>17.3</v>
      </c>
      <c r="AM90" s="441">
        <f t="shared" si="15"/>
        <v>14.1</v>
      </c>
      <c r="AN90" s="441">
        <f t="shared" si="15"/>
        <v>28.1</v>
      </c>
      <c r="AO90" s="441">
        <f t="shared" si="15"/>
        <v>9.1</v>
      </c>
      <c r="AP90" s="441">
        <f t="shared" si="15"/>
        <v>45.6</v>
      </c>
      <c r="AQ90" s="441">
        <f t="shared" si="15"/>
        <v>26.8</v>
      </c>
      <c r="AR90" s="441">
        <f t="shared" si="15"/>
        <v>13.9</v>
      </c>
      <c r="AS90" s="441">
        <f t="shared" si="15"/>
        <v>17.8</v>
      </c>
      <c r="AT90" s="441">
        <f t="shared" si="15"/>
        <v>13.8</v>
      </c>
      <c r="AU90" s="441">
        <f t="shared" si="15"/>
        <v>11.9</v>
      </c>
      <c r="AV90" s="441">
        <f t="shared" si="15"/>
        <v>15.1</v>
      </c>
      <c r="AW90" s="441">
        <f t="shared" si="15"/>
        <v>10.8</v>
      </c>
      <c r="AX90" s="441">
        <f t="shared" si="15"/>
        <v>12.7</v>
      </c>
      <c r="AY90" s="441">
        <f t="shared" si="15"/>
        <v>32.1</v>
      </c>
      <c r="AZ90" s="441">
        <f t="shared" si="15"/>
        <v>17.100000000000001</v>
      </c>
      <c r="BA90" s="441">
        <f t="shared" si="15"/>
        <v>16.600000000000001</v>
      </c>
      <c r="BB90" s="441">
        <f t="shared" si="15"/>
        <v>10.5</v>
      </c>
      <c r="BC90" s="441">
        <f t="shared" si="15"/>
        <v>12.3</v>
      </c>
      <c r="BD90" s="441">
        <f t="shared" si="15"/>
        <v>12.1</v>
      </c>
      <c r="BE90" s="441">
        <f t="shared" si="15"/>
        <v>11.6</v>
      </c>
      <c r="BF90" s="441">
        <f t="shared" si="15"/>
        <v>17</v>
      </c>
      <c r="BG90" s="441">
        <f t="shared" si="15"/>
        <v>14</v>
      </c>
      <c r="BH90" s="441">
        <f t="shared" si="15"/>
        <v>13.7</v>
      </c>
      <c r="BI90" s="441">
        <f t="shared" si="15"/>
        <v>12</v>
      </c>
      <c r="BJ90" s="441">
        <f t="shared" si="15"/>
        <v>11.4</v>
      </c>
      <c r="BK90" s="441">
        <f t="shared" si="15"/>
        <v>13.2</v>
      </c>
      <c r="BL90" s="441">
        <f t="shared" si="15"/>
        <v>8.9</v>
      </c>
      <c r="BM90" s="441">
        <f t="shared" si="15"/>
        <v>17.7</v>
      </c>
      <c r="BN90" s="441">
        <f t="shared" si="15"/>
        <v>19.399999999999999</v>
      </c>
      <c r="BO90" s="441">
        <f t="shared" si="15"/>
        <v>11.6</v>
      </c>
      <c r="BP90" s="441">
        <f t="shared" si="15"/>
        <v>8</v>
      </c>
      <c r="BQ90" s="441">
        <f t="shared" si="15"/>
        <v>33.5</v>
      </c>
      <c r="BR90" s="441">
        <f t="shared" si="15"/>
        <v>12.5</v>
      </c>
      <c r="BS90" s="441">
        <f t="shared" si="15"/>
        <v>17.3</v>
      </c>
      <c r="BT90" s="441">
        <f t="shared" si="15"/>
        <v>16.100000000000001</v>
      </c>
      <c r="BU90" s="441">
        <f t="shared" si="15"/>
        <v>29.6</v>
      </c>
      <c r="BV90" s="441">
        <f t="shared" si="15"/>
        <v>23.7</v>
      </c>
      <c r="BW90" s="441">
        <f t="shared" si="15"/>
        <v>13.5</v>
      </c>
      <c r="BX90" s="441">
        <f t="shared" si="15"/>
        <v>8.6999999999999993</v>
      </c>
      <c r="BY90" s="441">
        <f t="shared" si="15"/>
        <v>12.1</v>
      </c>
      <c r="BZ90" s="441">
        <f t="shared" si="15"/>
        <v>14.1</v>
      </c>
      <c r="CA90" s="441">
        <f t="shared" ref="CA90:CK90" si="16">SUM(CA54:CA89)</f>
        <v>19.2</v>
      </c>
      <c r="CB90" s="441">
        <f t="shared" si="16"/>
        <v>12.6</v>
      </c>
      <c r="CC90" s="441">
        <f t="shared" si="16"/>
        <v>11.6</v>
      </c>
      <c r="CD90" s="441">
        <f t="shared" si="16"/>
        <v>8.3000000000000007</v>
      </c>
      <c r="CE90" s="441">
        <f t="shared" si="16"/>
        <v>13.1</v>
      </c>
      <c r="CF90" s="441">
        <f t="shared" si="16"/>
        <v>11</v>
      </c>
      <c r="CG90" s="441">
        <f t="shared" si="16"/>
        <v>15.8</v>
      </c>
      <c r="CH90" s="441">
        <f t="shared" si="16"/>
        <v>13.1</v>
      </c>
      <c r="CI90" s="441">
        <f t="shared" si="16"/>
        <v>8.3000000000000007</v>
      </c>
      <c r="CJ90" s="451">
        <f t="shared" si="16"/>
        <v>4.5</v>
      </c>
      <c r="CK90" s="441">
        <f t="shared" si="16"/>
        <v>5.2</v>
      </c>
    </row>
    <row r="91" spans="2:89" s="452" customFormat="1" ht="15.75" customHeight="1" thickTop="1">
      <c r="B91" s="452" t="s">
        <v>590</v>
      </c>
      <c r="C91" s="453"/>
      <c r="F91" s="453"/>
      <c r="P91" s="452">
        <v>1.4</v>
      </c>
      <c r="Q91" s="452">
        <v>1.4</v>
      </c>
      <c r="R91" s="452">
        <v>5.2</v>
      </c>
      <c r="S91" s="452">
        <v>22</v>
      </c>
      <c r="T91" s="452">
        <v>48.5</v>
      </c>
      <c r="U91" s="452">
        <v>31.5</v>
      </c>
      <c r="V91" s="452">
        <v>51.5</v>
      </c>
      <c r="W91" s="452">
        <v>34.799999999999997</v>
      </c>
      <c r="X91" s="452">
        <v>25.4</v>
      </c>
      <c r="Y91" s="452">
        <v>37.799999999999997</v>
      </c>
      <c r="Z91" s="452">
        <v>41.1</v>
      </c>
      <c r="AA91" s="452">
        <v>30.6</v>
      </c>
      <c r="AB91" s="452">
        <v>21.9</v>
      </c>
      <c r="AC91" s="452">
        <v>21.6</v>
      </c>
      <c r="AD91" s="573">
        <v>15.6</v>
      </c>
      <c r="AE91" s="452">
        <v>23.4</v>
      </c>
      <c r="AF91" s="452">
        <v>15.4</v>
      </c>
      <c r="AG91" s="452">
        <v>26.1</v>
      </c>
      <c r="AH91" s="452">
        <v>36.5</v>
      </c>
      <c r="AI91" s="452">
        <v>17.2</v>
      </c>
      <c r="AJ91" s="452">
        <v>9</v>
      </c>
      <c r="AK91" s="452">
        <v>22.7</v>
      </c>
      <c r="AL91" s="452">
        <v>17.3</v>
      </c>
      <c r="AM91" s="452">
        <v>14.1</v>
      </c>
      <c r="AN91" s="452">
        <v>28.1</v>
      </c>
      <c r="AO91" s="452">
        <v>9.1</v>
      </c>
      <c r="AP91" s="452">
        <v>45.6</v>
      </c>
      <c r="AQ91" s="452">
        <v>26.8</v>
      </c>
      <c r="AR91" s="452">
        <v>13.9</v>
      </c>
      <c r="AS91" s="452">
        <v>17.8</v>
      </c>
      <c r="AT91" s="452">
        <v>13.8</v>
      </c>
      <c r="AU91" s="452">
        <v>11.9</v>
      </c>
      <c r="AV91" s="452">
        <v>15.1</v>
      </c>
      <c r="AW91" s="452">
        <v>10.8</v>
      </c>
      <c r="AX91" s="452">
        <v>12.7</v>
      </c>
      <c r="AY91" s="452">
        <v>32.1</v>
      </c>
      <c r="AZ91" s="452">
        <v>17.100000000000001</v>
      </c>
      <c r="BA91" s="452">
        <v>16.600000000000001</v>
      </c>
      <c r="BB91" s="452">
        <v>10.5</v>
      </c>
      <c r="BC91" s="452">
        <v>12.3</v>
      </c>
      <c r="BD91" s="452">
        <v>12.1</v>
      </c>
      <c r="BE91" s="452">
        <v>11.6</v>
      </c>
      <c r="BF91" s="452">
        <v>17</v>
      </c>
      <c r="BG91" s="452">
        <v>14</v>
      </c>
      <c r="BH91" s="452">
        <v>13.7</v>
      </c>
      <c r="BI91" s="452">
        <v>12</v>
      </c>
      <c r="BJ91" s="452">
        <v>11.4</v>
      </c>
      <c r="BK91" s="452">
        <v>13.2</v>
      </c>
      <c r="BL91" s="452">
        <v>8.9</v>
      </c>
      <c r="BM91" s="452">
        <v>17.7</v>
      </c>
      <c r="BN91" s="452">
        <v>19.399999999999999</v>
      </c>
      <c r="BO91" s="452">
        <v>11.6</v>
      </c>
      <c r="BP91" s="452">
        <v>8</v>
      </c>
      <c r="BQ91" s="452">
        <v>33.5</v>
      </c>
      <c r="BR91" s="452">
        <v>12.5</v>
      </c>
      <c r="BS91" s="452">
        <v>17.3</v>
      </c>
      <c r="BT91" s="452">
        <v>16.100000000000001</v>
      </c>
      <c r="BU91" s="452">
        <v>29.6</v>
      </c>
      <c r="BV91" s="452">
        <v>23.7</v>
      </c>
      <c r="BW91" s="452">
        <v>13.5</v>
      </c>
      <c r="BX91" s="452">
        <v>8.6999999999999993</v>
      </c>
      <c r="BY91" s="452">
        <v>12.1</v>
      </c>
      <c r="BZ91" s="452">
        <v>14.1</v>
      </c>
      <c r="CA91" s="452">
        <v>19.2</v>
      </c>
      <c r="CB91" s="452">
        <v>12.6</v>
      </c>
      <c r="CC91" s="452">
        <v>11.6</v>
      </c>
      <c r="CD91" s="452">
        <v>8.3000000000000007</v>
      </c>
      <c r="CE91" s="452">
        <v>13.1</v>
      </c>
      <c r="CF91" s="452">
        <v>11</v>
      </c>
      <c r="CG91" s="452">
        <v>15.8</v>
      </c>
      <c r="CH91" s="452">
        <v>13.1</v>
      </c>
      <c r="CI91" s="452">
        <v>8.3000000000000007</v>
      </c>
      <c r="CJ91" s="455">
        <v>4.5</v>
      </c>
      <c r="CK91" s="452">
        <v>5.2</v>
      </c>
    </row>
    <row r="92" spans="2:89" s="452" customFormat="1" ht="15.75" customHeight="1">
      <c r="B92" s="452" t="s">
        <v>591</v>
      </c>
      <c r="C92" s="453"/>
      <c r="D92" s="453"/>
      <c r="E92" s="454"/>
      <c r="F92" s="453"/>
      <c r="P92" s="611">
        <f>P91-P90</f>
        <v>0</v>
      </c>
      <c r="Q92" s="611">
        <f t="shared" ref="Q92:AO92" si="17">Q91-Q90</f>
        <v>0</v>
      </c>
      <c r="R92" s="611">
        <f t="shared" si="17"/>
        <v>0</v>
      </c>
      <c r="S92" s="611">
        <f t="shared" si="17"/>
        <v>0</v>
      </c>
      <c r="T92" s="611">
        <f t="shared" si="17"/>
        <v>0</v>
      </c>
      <c r="U92" s="611">
        <f t="shared" si="17"/>
        <v>0</v>
      </c>
      <c r="V92" s="611">
        <f t="shared" si="17"/>
        <v>0</v>
      </c>
      <c r="W92" s="611">
        <f t="shared" si="17"/>
        <v>0</v>
      </c>
      <c r="X92" s="611">
        <f t="shared" si="17"/>
        <v>0</v>
      </c>
      <c r="Y92" s="611">
        <f t="shared" si="17"/>
        <v>0</v>
      </c>
      <c r="Z92" s="611">
        <f t="shared" si="17"/>
        <v>0</v>
      </c>
      <c r="AA92" s="611">
        <f t="shared" si="17"/>
        <v>0</v>
      </c>
      <c r="AB92" s="611">
        <f t="shared" si="17"/>
        <v>0</v>
      </c>
      <c r="AC92" s="611">
        <f t="shared" si="17"/>
        <v>0</v>
      </c>
      <c r="AD92" s="612">
        <f t="shared" si="17"/>
        <v>0</v>
      </c>
      <c r="AE92" s="611">
        <f t="shared" si="17"/>
        <v>0</v>
      </c>
      <c r="AF92" s="611">
        <f t="shared" si="17"/>
        <v>0</v>
      </c>
      <c r="AG92" s="611">
        <f t="shared" si="17"/>
        <v>0</v>
      </c>
      <c r="AH92" s="611">
        <f t="shared" si="17"/>
        <v>0</v>
      </c>
      <c r="AI92" s="611">
        <f t="shared" si="17"/>
        <v>0</v>
      </c>
      <c r="AJ92" s="611">
        <f t="shared" si="17"/>
        <v>0</v>
      </c>
      <c r="AK92" s="611">
        <f t="shared" si="17"/>
        <v>0</v>
      </c>
      <c r="AL92" s="611">
        <f t="shared" si="17"/>
        <v>0</v>
      </c>
      <c r="AM92" s="611">
        <f t="shared" si="17"/>
        <v>0</v>
      </c>
      <c r="AN92" s="611">
        <f t="shared" si="17"/>
        <v>0</v>
      </c>
      <c r="AO92" s="611">
        <f t="shared" si="17"/>
        <v>0</v>
      </c>
      <c r="AP92" s="611">
        <f t="shared" ref="AP92:CK92" si="18">AP91-AP90</f>
        <v>0</v>
      </c>
      <c r="AQ92" s="611">
        <f t="shared" si="18"/>
        <v>0</v>
      </c>
      <c r="AR92" s="611">
        <f t="shared" si="18"/>
        <v>0</v>
      </c>
      <c r="AS92" s="611">
        <f t="shared" si="18"/>
        <v>0</v>
      </c>
      <c r="AT92" s="611">
        <f t="shared" si="18"/>
        <v>0</v>
      </c>
      <c r="AU92" s="611">
        <f t="shared" si="18"/>
        <v>0</v>
      </c>
      <c r="AV92" s="611">
        <f t="shared" si="18"/>
        <v>0</v>
      </c>
      <c r="AW92" s="611">
        <f t="shared" si="18"/>
        <v>0</v>
      </c>
      <c r="AX92" s="611">
        <f t="shared" si="18"/>
        <v>0</v>
      </c>
      <c r="AY92" s="611">
        <f t="shared" si="18"/>
        <v>0</v>
      </c>
      <c r="AZ92" s="611">
        <f t="shared" si="18"/>
        <v>0</v>
      </c>
      <c r="BA92" s="611">
        <f t="shared" si="18"/>
        <v>0</v>
      </c>
      <c r="BB92" s="611">
        <f t="shared" si="18"/>
        <v>0</v>
      </c>
      <c r="BC92" s="611">
        <f t="shared" si="18"/>
        <v>0</v>
      </c>
      <c r="BD92" s="611">
        <f t="shared" si="18"/>
        <v>0</v>
      </c>
      <c r="BE92" s="611">
        <f t="shared" si="18"/>
        <v>0</v>
      </c>
      <c r="BF92" s="611">
        <f t="shared" si="18"/>
        <v>0</v>
      </c>
      <c r="BG92" s="611">
        <f t="shared" si="18"/>
        <v>0</v>
      </c>
      <c r="BH92" s="611">
        <f t="shared" si="18"/>
        <v>0</v>
      </c>
      <c r="BI92" s="611">
        <f t="shared" si="18"/>
        <v>0</v>
      </c>
      <c r="BJ92" s="611">
        <f t="shared" si="18"/>
        <v>0</v>
      </c>
      <c r="BK92" s="611">
        <f t="shared" si="18"/>
        <v>0</v>
      </c>
      <c r="BL92" s="611">
        <f t="shared" si="18"/>
        <v>0</v>
      </c>
      <c r="BM92" s="611">
        <f t="shared" si="18"/>
        <v>0</v>
      </c>
      <c r="BN92" s="611">
        <f t="shared" si="18"/>
        <v>0</v>
      </c>
      <c r="BO92" s="611">
        <f t="shared" si="18"/>
        <v>0</v>
      </c>
      <c r="BP92" s="611">
        <f t="shared" si="18"/>
        <v>0</v>
      </c>
      <c r="BQ92" s="611">
        <f t="shared" si="18"/>
        <v>0</v>
      </c>
      <c r="BR92" s="611">
        <f t="shared" si="18"/>
        <v>0</v>
      </c>
      <c r="BS92" s="611">
        <f t="shared" si="18"/>
        <v>0</v>
      </c>
      <c r="BT92" s="611">
        <f t="shared" si="18"/>
        <v>0</v>
      </c>
      <c r="BU92" s="611">
        <f t="shared" si="18"/>
        <v>0</v>
      </c>
      <c r="BV92" s="611">
        <f t="shared" si="18"/>
        <v>0</v>
      </c>
      <c r="BW92" s="611">
        <f t="shared" si="18"/>
        <v>0</v>
      </c>
      <c r="BX92" s="611">
        <f t="shared" si="18"/>
        <v>0</v>
      </c>
      <c r="BY92" s="611">
        <f t="shared" si="18"/>
        <v>0</v>
      </c>
      <c r="BZ92" s="611">
        <f t="shared" si="18"/>
        <v>0</v>
      </c>
      <c r="CA92" s="611">
        <f t="shared" si="18"/>
        <v>0</v>
      </c>
      <c r="CB92" s="611">
        <f t="shared" si="18"/>
        <v>0</v>
      </c>
      <c r="CC92" s="611">
        <f t="shared" si="18"/>
        <v>0</v>
      </c>
      <c r="CD92" s="611">
        <f t="shared" si="18"/>
        <v>0</v>
      </c>
      <c r="CE92" s="611">
        <f t="shared" si="18"/>
        <v>0</v>
      </c>
      <c r="CF92" s="611">
        <f t="shared" si="18"/>
        <v>0</v>
      </c>
      <c r="CG92" s="611">
        <f t="shared" si="18"/>
        <v>0</v>
      </c>
      <c r="CH92" s="611">
        <f t="shared" si="18"/>
        <v>0</v>
      </c>
      <c r="CI92" s="611">
        <f t="shared" si="18"/>
        <v>0</v>
      </c>
      <c r="CJ92" s="613">
        <f t="shared" si="18"/>
        <v>0</v>
      </c>
      <c r="CK92" s="611">
        <f t="shared" si="18"/>
        <v>0</v>
      </c>
    </row>
    <row r="93" spans="2:89" s="452" customFormat="1" ht="15.75" customHeight="1">
      <c r="C93" s="453"/>
      <c r="D93" s="453"/>
      <c r="E93" s="454"/>
      <c r="F93" s="453"/>
      <c r="P93" s="611"/>
      <c r="Q93" s="611"/>
      <c r="R93" s="611"/>
      <c r="S93" s="611"/>
      <c r="T93" s="611"/>
      <c r="U93" s="611"/>
      <c r="V93" s="611"/>
      <c r="W93" s="611"/>
      <c r="X93" s="611"/>
      <c r="Y93" s="611"/>
      <c r="Z93" s="611"/>
      <c r="AA93" s="611"/>
      <c r="AB93" s="611"/>
      <c r="AC93" s="611"/>
      <c r="AD93" s="612"/>
      <c r="AE93" s="611"/>
      <c r="AF93" s="611"/>
      <c r="AG93" s="611"/>
      <c r="AH93" s="611"/>
      <c r="AI93" s="611"/>
      <c r="AJ93" s="611"/>
      <c r="AK93" s="611"/>
      <c r="AL93" s="611"/>
      <c r="AM93" s="611"/>
      <c r="AN93" s="611"/>
      <c r="AO93" s="611"/>
      <c r="AP93" s="611"/>
      <c r="AQ93" s="611"/>
      <c r="AR93" s="611"/>
      <c r="AS93" s="611"/>
      <c r="AT93" s="611"/>
      <c r="AU93" s="611"/>
      <c r="AV93" s="611"/>
      <c r="AW93" s="611"/>
      <c r="AX93" s="611"/>
      <c r="AY93" s="611"/>
      <c r="AZ93" s="611"/>
      <c r="BA93" s="611"/>
      <c r="BB93" s="611"/>
      <c r="BC93" s="611"/>
      <c r="BD93" s="611"/>
      <c r="BE93" s="611"/>
      <c r="BF93" s="611"/>
      <c r="BG93" s="611"/>
      <c r="BH93" s="611"/>
      <c r="BI93" s="611"/>
      <c r="BJ93" s="611"/>
      <c r="BK93" s="611"/>
      <c r="BL93" s="611"/>
      <c r="BM93" s="611"/>
      <c r="BN93" s="611"/>
      <c r="BO93" s="611"/>
      <c r="BP93" s="611"/>
      <c r="BQ93" s="611"/>
      <c r="BR93" s="611"/>
      <c r="BS93" s="611"/>
      <c r="BT93" s="611"/>
      <c r="BU93" s="611"/>
      <c r="BV93" s="611"/>
      <c r="BW93" s="611"/>
      <c r="BX93" s="611"/>
      <c r="BY93" s="611"/>
      <c r="BZ93" s="611"/>
      <c r="CA93" s="611"/>
      <c r="CB93" s="611"/>
      <c r="CC93" s="611"/>
      <c r="CD93" s="611"/>
      <c r="CE93" s="611"/>
      <c r="CF93" s="611"/>
      <c r="CG93" s="611"/>
      <c r="CH93" s="611"/>
      <c r="CI93" s="611"/>
      <c r="CJ93" s="613"/>
      <c r="CK93" s="611"/>
    </row>
    <row r="94" spans="2:89" s="452" customFormat="1" ht="15.75" customHeight="1">
      <c r="B94" s="452" t="s">
        <v>655</v>
      </c>
      <c r="C94" s="453"/>
      <c r="D94" s="453"/>
      <c r="E94" s="638">
        <f>SUM(O94:CK94)</f>
        <v>0</v>
      </c>
      <c r="F94" s="453"/>
      <c r="P94" s="611"/>
      <c r="Q94" s="611"/>
      <c r="R94" s="611">
        <f>R83*('6. Baseline Appraisal'!R88-1)</f>
        <v>0</v>
      </c>
      <c r="S94" s="611">
        <f>S83*('6. Baseline Appraisal'!S88-1)</f>
        <v>0</v>
      </c>
      <c r="T94" s="611">
        <f>T83*('6. Baseline Appraisal'!T88-1)</f>
        <v>0</v>
      </c>
      <c r="U94" s="611">
        <f>U83*('6. Baseline Appraisal'!U88-1)</f>
        <v>0</v>
      </c>
      <c r="V94" s="611">
        <f>V83*('6. Baseline Appraisal'!V88-1)</f>
        <v>0</v>
      </c>
      <c r="W94" s="611">
        <f>W83*('6. Baseline Appraisal'!W88-1)</f>
        <v>0</v>
      </c>
      <c r="X94" s="611">
        <f>X83*('6. Baseline Appraisal'!X88-1)</f>
        <v>0</v>
      </c>
      <c r="Y94" s="611">
        <f>Y83*('6. Baseline Appraisal'!Y88-1)</f>
        <v>0</v>
      </c>
      <c r="Z94" s="611">
        <f>Z83*('6. Baseline Appraisal'!Z88-1)</f>
        <v>0</v>
      </c>
      <c r="AA94" s="611">
        <f>AA83*('6. Baseline Appraisal'!AA88-1)</f>
        <v>0</v>
      </c>
      <c r="AB94" s="611">
        <f>AB83*('6. Baseline Appraisal'!AB88-1)</f>
        <v>0</v>
      </c>
      <c r="AC94" s="611">
        <f>AC83*('6. Baseline Appraisal'!AC88-1)</f>
        <v>0</v>
      </c>
      <c r="AD94" s="611">
        <f>AD83*('6. Baseline Appraisal'!AD88-1)</f>
        <v>0</v>
      </c>
      <c r="AE94" s="611">
        <f>AE83*('6. Baseline Appraisal'!AE88-1)</f>
        <v>0</v>
      </c>
      <c r="AF94" s="611">
        <f>AF83*('6. Baseline Appraisal'!AF88-1)</f>
        <v>0</v>
      </c>
      <c r="AG94" s="611">
        <f>AG83*('6. Baseline Appraisal'!AG88-1)</f>
        <v>0</v>
      </c>
      <c r="AH94" s="611">
        <f>AH83*('6. Baseline Appraisal'!AH88-1)</f>
        <v>0</v>
      </c>
      <c r="AI94" s="611">
        <f>AI83*('6. Baseline Appraisal'!AI88-1)</f>
        <v>0</v>
      </c>
      <c r="AJ94" s="611">
        <f>AJ83*('6. Baseline Appraisal'!AJ88-1)</f>
        <v>0</v>
      </c>
      <c r="AK94" s="611">
        <f>AK83*('6. Baseline Appraisal'!AK88-1)</f>
        <v>0</v>
      </c>
      <c r="AL94" s="611">
        <f>AL83*('6. Baseline Appraisal'!AL88-1)</f>
        <v>0</v>
      </c>
      <c r="AM94" s="611">
        <f>AM83*('6. Baseline Appraisal'!AM88-1)</f>
        <v>0</v>
      </c>
      <c r="AN94" s="611">
        <f>AN83*('6. Baseline Appraisal'!AN88-1)</f>
        <v>0</v>
      </c>
      <c r="AO94" s="611">
        <f>AO83*('6. Baseline Appraisal'!AO88-1)</f>
        <v>0</v>
      </c>
      <c r="AP94" s="611">
        <f>AP83*('6. Baseline Appraisal'!AP88-1)</f>
        <v>0</v>
      </c>
      <c r="AQ94" s="611">
        <f>AQ83*('6. Baseline Appraisal'!AQ88-1)</f>
        <v>0</v>
      </c>
      <c r="AR94" s="611">
        <f>AR83*('6. Baseline Appraisal'!AR88-1)</f>
        <v>0</v>
      </c>
      <c r="AS94" s="611">
        <f>AS83*('6. Baseline Appraisal'!AS88-1)</f>
        <v>0</v>
      </c>
      <c r="AT94" s="611">
        <f>AT83*('6. Baseline Appraisal'!AT88-1)</f>
        <v>0</v>
      </c>
      <c r="AU94" s="611">
        <f>AU83*('6. Baseline Appraisal'!AU88-1)</f>
        <v>0</v>
      </c>
      <c r="AV94" s="611">
        <f>AV83*('6. Baseline Appraisal'!AV88-1)</f>
        <v>0</v>
      </c>
      <c r="AW94" s="611">
        <f>AW83*('6. Baseline Appraisal'!AW88-1)</f>
        <v>0</v>
      </c>
      <c r="AX94" s="611">
        <f>AX83*('6. Baseline Appraisal'!AX88-1)</f>
        <v>0</v>
      </c>
      <c r="AY94" s="611">
        <f>AY83*('6. Baseline Appraisal'!AY88-1)</f>
        <v>0</v>
      </c>
      <c r="AZ94" s="611">
        <f>AZ83*('6. Baseline Appraisal'!AZ88-1)</f>
        <v>0</v>
      </c>
      <c r="BA94" s="611">
        <f>BA83*('6. Baseline Appraisal'!BA88-1)</f>
        <v>0</v>
      </c>
      <c r="BB94" s="611">
        <f>BB83*('6. Baseline Appraisal'!BB88-1)</f>
        <v>0</v>
      </c>
      <c r="BC94" s="611">
        <f>BC83*('6. Baseline Appraisal'!BC88-1)</f>
        <v>0</v>
      </c>
      <c r="BD94" s="611">
        <f>BD83*('6. Baseline Appraisal'!BD88-1)</f>
        <v>0</v>
      </c>
      <c r="BE94" s="611">
        <f>BE83*('6. Baseline Appraisal'!BE88-1)</f>
        <v>0</v>
      </c>
      <c r="BF94" s="611">
        <f>BF83*('6. Baseline Appraisal'!BF88-1)</f>
        <v>0</v>
      </c>
      <c r="BG94" s="611">
        <f>BG83*('6. Baseline Appraisal'!BG88-1)</f>
        <v>0</v>
      </c>
      <c r="BH94" s="611">
        <f>BH83*('6. Baseline Appraisal'!BH88-1)</f>
        <v>0</v>
      </c>
      <c r="BI94" s="611">
        <f>BI83*('6. Baseline Appraisal'!BI88-1)</f>
        <v>0</v>
      </c>
      <c r="BJ94" s="611">
        <f>BJ83*('6. Baseline Appraisal'!BJ88-1)</f>
        <v>0</v>
      </c>
      <c r="BK94" s="611">
        <f>BK83*('6. Baseline Appraisal'!BK88-1)</f>
        <v>0</v>
      </c>
      <c r="BL94" s="611">
        <f>BL83*('6. Baseline Appraisal'!BL88-1)</f>
        <v>0</v>
      </c>
      <c r="BM94" s="611">
        <f>BM83*('6. Baseline Appraisal'!BM88-1)</f>
        <v>0</v>
      </c>
      <c r="BN94" s="611">
        <f>BN83*('6. Baseline Appraisal'!BN88-1)</f>
        <v>0</v>
      </c>
      <c r="BO94" s="611">
        <f>BO83*('6. Baseline Appraisal'!BO88-1)</f>
        <v>0</v>
      </c>
      <c r="BP94" s="611">
        <f>BP83*('6. Baseline Appraisal'!BP88-1)</f>
        <v>0</v>
      </c>
      <c r="BQ94" s="611">
        <f>BQ83*('6. Baseline Appraisal'!BQ88-1)</f>
        <v>0</v>
      </c>
      <c r="BR94" s="611">
        <f>BR83*('6. Baseline Appraisal'!BR88-1)</f>
        <v>0</v>
      </c>
      <c r="BS94" s="611">
        <f>BS83*('6. Baseline Appraisal'!BS88-1)</f>
        <v>0</v>
      </c>
      <c r="BT94" s="611">
        <f>BT83*('6. Baseline Appraisal'!BT88-1)</f>
        <v>0</v>
      </c>
      <c r="BU94" s="611">
        <f>BU83*('6. Baseline Appraisal'!BU88-1)</f>
        <v>0</v>
      </c>
      <c r="BV94" s="611">
        <f>BV83*('6. Baseline Appraisal'!BV88-1)</f>
        <v>0</v>
      </c>
      <c r="BW94" s="611">
        <f>BW83*('6. Baseline Appraisal'!BW88-1)</f>
        <v>0</v>
      </c>
      <c r="BX94" s="611">
        <f>BX83*('6. Baseline Appraisal'!BX88-1)</f>
        <v>0</v>
      </c>
      <c r="BY94" s="611">
        <f>BY83*('6. Baseline Appraisal'!BY88-1)</f>
        <v>0</v>
      </c>
      <c r="BZ94" s="611">
        <f>BZ83*('6. Baseline Appraisal'!BZ88-1)</f>
        <v>0</v>
      </c>
      <c r="CA94" s="611">
        <f>CA83*('6. Baseline Appraisal'!CA88-1)</f>
        <v>0</v>
      </c>
      <c r="CB94" s="611">
        <f>CB83*('6. Baseline Appraisal'!CB88-1)</f>
        <v>0</v>
      </c>
      <c r="CC94" s="611">
        <f>CC83*('6. Baseline Appraisal'!CC88-1)</f>
        <v>0</v>
      </c>
      <c r="CD94" s="611">
        <f>CD83*('6. Baseline Appraisal'!CD88-1)</f>
        <v>0</v>
      </c>
      <c r="CE94" s="611">
        <f>CE83*('6. Baseline Appraisal'!CE88-1)</f>
        <v>0</v>
      </c>
      <c r="CF94" s="611">
        <f>CF83*('6. Baseline Appraisal'!CF88-1)</f>
        <v>0</v>
      </c>
      <c r="CG94" s="611">
        <f>CG83*('6. Baseline Appraisal'!CG88-1)</f>
        <v>0</v>
      </c>
      <c r="CH94" s="611">
        <f>CH83*('6. Baseline Appraisal'!CH88-1)</f>
        <v>0</v>
      </c>
      <c r="CI94" s="611">
        <f>CI83*('6. Baseline Appraisal'!CI88-1)</f>
        <v>0</v>
      </c>
      <c r="CJ94" s="611">
        <f>CJ83*('6. Baseline Appraisal'!CJ88-1)</f>
        <v>0</v>
      </c>
      <c r="CK94" s="611">
        <f>CK83*('6. Baseline Appraisal'!CK88-1)</f>
        <v>0</v>
      </c>
    </row>
    <row r="95" spans="2:89" s="452" customFormat="1" ht="15.75" customHeight="1">
      <c r="C95" s="453"/>
      <c r="D95" s="453"/>
      <c r="E95" s="454"/>
      <c r="F95" s="453"/>
      <c r="P95" s="611"/>
      <c r="Q95" s="611"/>
      <c r="R95" s="611"/>
      <c r="S95" s="611"/>
      <c r="T95" s="611"/>
      <c r="U95" s="611"/>
      <c r="V95" s="611"/>
      <c r="W95" s="611"/>
      <c r="X95" s="611"/>
      <c r="Y95" s="611"/>
      <c r="Z95" s="611"/>
      <c r="AA95" s="611"/>
      <c r="AB95" s="611"/>
      <c r="AC95" s="611"/>
      <c r="AD95" s="612"/>
      <c r="AE95" s="611"/>
      <c r="AF95" s="611"/>
      <c r="AG95" s="611"/>
      <c r="AH95" s="611"/>
      <c r="AI95" s="611"/>
      <c r="AJ95" s="611"/>
      <c r="AK95" s="611"/>
      <c r="AL95" s="611"/>
      <c r="AM95" s="611"/>
      <c r="AN95" s="611"/>
      <c r="AO95" s="611"/>
      <c r="AP95" s="611"/>
      <c r="AQ95" s="611"/>
      <c r="AR95" s="611"/>
      <c r="AS95" s="611"/>
      <c r="AT95" s="611"/>
      <c r="AU95" s="611"/>
      <c r="AV95" s="611"/>
      <c r="AW95" s="611"/>
      <c r="AX95" s="611"/>
      <c r="AY95" s="611"/>
      <c r="AZ95" s="611"/>
      <c r="BA95" s="611"/>
      <c r="BB95" s="611"/>
      <c r="BC95" s="611"/>
      <c r="BD95" s="611"/>
      <c r="BE95" s="611"/>
      <c r="BF95" s="611"/>
      <c r="BG95" s="611"/>
      <c r="BH95" s="611"/>
      <c r="BI95" s="611"/>
      <c r="BJ95" s="611"/>
      <c r="BK95" s="611"/>
      <c r="BL95" s="611"/>
      <c r="BM95" s="611"/>
      <c r="BN95" s="611"/>
      <c r="BO95" s="611"/>
      <c r="BP95" s="611"/>
      <c r="BQ95" s="611"/>
      <c r="BR95" s="611"/>
      <c r="BS95" s="611"/>
      <c r="BT95" s="611"/>
      <c r="BU95" s="611"/>
      <c r="BV95" s="611"/>
      <c r="BW95" s="611"/>
      <c r="BX95" s="611"/>
      <c r="BY95" s="611"/>
      <c r="BZ95" s="611"/>
      <c r="CA95" s="611"/>
      <c r="CB95" s="611"/>
      <c r="CC95" s="611"/>
      <c r="CD95" s="611"/>
      <c r="CE95" s="611"/>
      <c r="CF95" s="611"/>
      <c r="CG95" s="611"/>
      <c r="CH95" s="611"/>
      <c r="CI95" s="611"/>
      <c r="CJ95" s="613"/>
      <c r="CK95" s="611"/>
    </row>
    <row r="96" spans="2:89" s="452" customFormat="1" ht="15.75" customHeight="1">
      <c r="C96" s="453"/>
      <c r="D96" s="453"/>
      <c r="E96" s="454"/>
      <c r="F96" s="453"/>
      <c r="P96" s="611"/>
      <c r="Q96" s="611"/>
      <c r="R96" s="611"/>
      <c r="S96" s="611"/>
      <c r="T96" s="611"/>
      <c r="U96" s="611"/>
      <c r="V96" s="611"/>
      <c r="W96" s="611"/>
      <c r="X96" s="611"/>
      <c r="Y96" s="611"/>
      <c r="Z96" s="611"/>
      <c r="AA96" s="611"/>
      <c r="AB96" s="611"/>
      <c r="AC96" s="611"/>
      <c r="AD96" s="612"/>
      <c r="AE96" s="611"/>
      <c r="AF96" s="611"/>
      <c r="AG96" s="611"/>
      <c r="AH96" s="611"/>
      <c r="AI96" s="611"/>
      <c r="AJ96" s="611"/>
      <c r="AK96" s="611"/>
      <c r="AL96" s="611"/>
      <c r="AM96" s="611"/>
      <c r="AN96" s="611"/>
      <c r="AO96" s="611"/>
      <c r="AP96" s="611"/>
      <c r="AQ96" s="611"/>
      <c r="AR96" s="611"/>
      <c r="AS96" s="611"/>
      <c r="AT96" s="611"/>
      <c r="AU96" s="611"/>
      <c r="AV96" s="611"/>
      <c r="AW96" s="611"/>
      <c r="AX96" s="611"/>
      <c r="AY96" s="611"/>
      <c r="AZ96" s="611"/>
      <c r="BA96" s="611"/>
      <c r="BB96" s="611"/>
      <c r="BC96" s="611"/>
      <c r="BD96" s="611"/>
      <c r="BE96" s="611"/>
      <c r="BF96" s="611"/>
      <c r="BG96" s="611"/>
      <c r="BH96" s="611"/>
      <c r="BI96" s="611"/>
      <c r="BJ96" s="611"/>
      <c r="BK96" s="611"/>
      <c r="BL96" s="611"/>
      <c r="BM96" s="611"/>
      <c r="BN96" s="611"/>
      <c r="BO96" s="611"/>
      <c r="BP96" s="611"/>
      <c r="BQ96" s="611"/>
      <c r="BR96" s="611"/>
      <c r="BS96" s="611"/>
      <c r="BT96" s="611"/>
      <c r="BU96" s="611"/>
      <c r="BV96" s="611"/>
      <c r="BW96" s="611"/>
      <c r="BX96" s="611"/>
      <c r="BY96" s="611"/>
      <c r="BZ96" s="611"/>
      <c r="CA96" s="611"/>
      <c r="CB96" s="611"/>
      <c r="CC96" s="611"/>
      <c r="CD96" s="611"/>
      <c r="CE96" s="611"/>
      <c r="CF96" s="611"/>
      <c r="CG96" s="611"/>
      <c r="CH96" s="611"/>
      <c r="CI96" s="611"/>
      <c r="CJ96" s="613"/>
      <c r="CK96" s="611"/>
    </row>
    <row r="97" spans="2:5" ht="15.75" customHeight="1">
      <c r="E97" s="372"/>
    </row>
    <row r="98" spans="2:5" ht="15.75" customHeight="1">
      <c r="B98" s="2" t="s">
        <v>581</v>
      </c>
      <c r="C98" s="2"/>
      <c r="E98" s="372" t="s">
        <v>654</v>
      </c>
    </row>
    <row r="99" spans="2:5" ht="15.75" customHeight="1">
      <c r="E99" s="372"/>
    </row>
    <row r="100" spans="2:5" ht="15.75" customHeight="1">
      <c r="E100" s="372"/>
    </row>
    <row r="101" spans="2:5" ht="15.75" customHeight="1">
      <c r="E101" s="372"/>
    </row>
    <row r="102" spans="2:5" ht="15.75" customHeight="1">
      <c r="E102" s="372"/>
    </row>
    <row r="103" spans="2:5" ht="15.75" customHeight="1">
      <c r="E103" s="372"/>
    </row>
    <row r="104" spans="2:5" ht="15.75" customHeight="1">
      <c r="E104" s="372"/>
    </row>
    <row r="105" spans="2:5" ht="15.75" customHeight="1">
      <c r="E105" s="372"/>
    </row>
    <row r="106" spans="2:5" ht="15.75" customHeight="1">
      <c r="E106" s="372"/>
    </row>
    <row r="107" spans="2:5" ht="15.75" customHeight="1">
      <c r="E107" s="372"/>
    </row>
    <row r="108" spans="2:5" ht="15.75" customHeight="1">
      <c r="E108" s="372"/>
    </row>
    <row r="109" spans="2:5" ht="15.75" customHeight="1">
      <c r="E109" s="372"/>
    </row>
    <row r="110" spans="2:5" ht="15.75" customHeight="1">
      <c r="E110" s="372"/>
    </row>
    <row r="111" spans="2:5" ht="15.75" customHeight="1">
      <c r="E111" s="372"/>
    </row>
    <row r="112" spans="2:5" ht="15.75" customHeight="1">
      <c r="E112" s="372"/>
    </row>
    <row r="113" spans="5:5" ht="15.75" customHeight="1">
      <c r="E113" s="372"/>
    </row>
    <row r="114" spans="5:5" ht="15.75" customHeight="1">
      <c r="E114" s="372"/>
    </row>
    <row r="115" spans="5:5" ht="15.75" customHeight="1">
      <c r="E115" s="372"/>
    </row>
    <row r="116" spans="5:5" ht="15.75" customHeight="1">
      <c r="E116" s="372"/>
    </row>
    <row r="117" spans="5:5" ht="15.75" customHeight="1">
      <c r="E117" s="372"/>
    </row>
    <row r="118" spans="5:5" ht="15.75" customHeight="1">
      <c r="E118" s="372"/>
    </row>
    <row r="119" spans="5:5" ht="15.75" customHeight="1">
      <c r="E119" s="372"/>
    </row>
    <row r="120" spans="5:5" ht="15.75" customHeight="1">
      <c r="E120" s="372"/>
    </row>
    <row r="121" spans="5:5" ht="15.75" customHeight="1">
      <c r="E121" s="372"/>
    </row>
    <row r="122" spans="5:5" ht="15.75" customHeight="1">
      <c r="E122" s="372"/>
    </row>
    <row r="123" spans="5:5" ht="15.75" customHeight="1">
      <c r="E123" s="372"/>
    </row>
    <row r="124" spans="5:5" ht="15.75" customHeight="1">
      <c r="E124" s="372"/>
    </row>
    <row r="125" spans="5:5" ht="15.75" customHeight="1">
      <c r="E125" s="372"/>
    </row>
    <row r="126" spans="5:5" ht="15.75" customHeight="1">
      <c r="E126" s="372"/>
    </row>
    <row r="127" spans="5:5" ht="15.75" customHeight="1">
      <c r="E127" s="372"/>
    </row>
    <row r="139" spans="1:5" ht="15.75" customHeight="1">
      <c r="A139" s="2" t="s">
        <v>582</v>
      </c>
    </row>
    <row r="140" spans="1:5" ht="15.75" customHeight="1">
      <c r="A140" s="378" t="s">
        <v>223</v>
      </c>
      <c r="B140" s="379"/>
      <c r="C140" s="380"/>
      <c r="D140" s="377"/>
      <c r="E140" s="381"/>
    </row>
    <row r="141" spans="1:5" ht="15.75" customHeight="1">
      <c r="A141" s="382">
        <f>Cover!D6</f>
        <v>0</v>
      </c>
      <c r="B141" s="383"/>
      <c r="C141" s="383"/>
      <c r="D141" s="383"/>
      <c r="E141" s="384"/>
    </row>
    <row r="142" spans="1:5" ht="15.75" customHeight="1">
      <c r="A142" s="385"/>
      <c r="B142" s="386"/>
      <c r="C142" s="386"/>
      <c r="D142" s="386"/>
      <c r="E142" s="386"/>
    </row>
    <row r="143" spans="1:5" ht="15.75" customHeight="1">
      <c r="A143" s="410" t="s">
        <v>249</v>
      </c>
      <c r="B143" s="386"/>
      <c r="C143" s="386"/>
      <c r="D143" s="386"/>
      <c r="E143" s="386"/>
    </row>
    <row r="144" spans="1:5" ht="15.75" customHeight="1">
      <c r="A144" s="389" t="s">
        <v>301</v>
      </c>
      <c r="B144" s="411"/>
      <c r="C144" s="412" t="s">
        <v>96</v>
      </c>
      <c r="D144" s="411" t="s">
        <v>4</v>
      </c>
      <c r="E144" s="412" t="s">
        <v>270</v>
      </c>
    </row>
    <row r="145" spans="1:5" ht="15.75" customHeight="1">
      <c r="A145" s="393" t="s">
        <v>283</v>
      </c>
      <c r="B145" s="413" t="s">
        <v>426</v>
      </c>
      <c r="C145" s="414">
        <f>D145/'1. Landuse'!C$21*1000000</f>
        <v>18571.428571428572</v>
      </c>
      <c r="D145" s="415">
        <v>390</v>
      </c>
      <c r="E145" s="416" t="s">
        <v>284</v>
      </c>
    </row>
    <row r="146" spans="1:5" ht="15.75" customHeight="1">
      <c r="A146" s="385"/>
      <c r="B146" s="385"/>
      <c r="C146" s="417" t="s">
        <v>95</v>
      </c>
      <c r="D146" s="418">
        <f>SUM(D145:D145)</f>
        <v>390</v>
      </c>
      <c r="E146" s="385"/>
    </row>
    <row r="147" spans="1:5" ht="15.75" customHeight="1">
      <c r="A147" s="385"/>
      <c r="B147" s="386"/>
      <c r="C147" s="386"/>
      <c r="D147" s="386"/>
      <c r="E147" s="386"/>
    </row>
    <row r="148" spans="1:5" ht="15.75" customHeight="1">
      <c r="A148" s="410" t="s">
        <v>227</v>
      </c>
      <c r="B148" s="385"/>
      <c r="C148" s="385"/>
      <c r="D148" s="385"/>
      <c r="E148" s="385"/>
    </row>
    <row r="149" spans="1:5" ht="15.75" customHeight="1">
      <c r="A149" s="404" t="s">
        <v>121</v>
      </c>
      <c r="B149" s="390"/>
      <c r="C149" s="411" t="s">
        <v>286</v>
      </c>
      <c r="D149" s="411" t="s">
        <v>4</v>
      </c>
      <c r="E149" s="411" t="s">
        <v>270</v>
      </c>
    </row>
    <row r="150" spans="1:5" ht="15.75" customHeight="1">
      <c r="A150" s="400" t="s">
        <v>280</v>
      </c>
      <c r="B150" s="419" t="s">
        <v>427</v>
      </c>
      <c r="C150" s="414">
        <f>D150/'1. Landuse'!C$21*1000000</f>
        <v>8199.9999999999982</v>
      </c>
      <c r="D150" s="420">
        <v>172.2</v>
      </c>
      <c r="E150" s="416" t="s">
        <v>285</v>
      </c>
    </row>
    <row r="151" spans="1:5" ht="15.75" customHeight="1">
      <c r="A151" s="401" t="s">
        <v>279</v>
      </c>
      <c r="B151" s="421" t="s">
        <v>428</v>
      </c>
      <c r="C151" s="414">
        <f>D151/'1. Landuse'!C$21*1000000</f>
        <v>1719.0476190476193</v>
      </c>
      <c r="D151" s="420">
        <v>36.1</v>
      </c>
      <c r="E151" s="416" t="s">
        <v>285</v>
      </c>
    </row>
    <row r="152" spans="1:5" ht="15.75" customHeight="1">
      <c r="A152" s="402" t="s">
        <v>278</v>
      </c>
      <c r="B152" s="422" t="s">
        <v>429</v>
      </c>
      <c r="C152" s="414">
        <f>D152/'1. Landuse'!C$21*1000000</f>
        <v>2685.7142857142858</v>
      </c>
      <c r="D152" s="420">
        <v>56.4</v>
      </c>
      <c r="E152" s="416" t="s">
        <v>285</v>
      </c>
    </row>
    <row r="153" spans="1:5" ht="15.75" customHeight="1">
      <c r="A153" s="402" t="s">
        <v>92</v>
      </c>
      <c r="B153" s="423"/>
      <c r="C153" s="414">
        <f>D153/'1. Landuse'!C$21*1000000</f>
        <v>500</v>
      </c>
      <c r="D153" s="420">
        <v>10.5</v>
      </c>
      <c r="E153" s="416" t="s">
        <v>285</v>
      </c>
    </row>
    <row r="154" spans="1:5" ht="15.75" customHeight="1">
      <c r="A154" s="385"/>
      <c r="B154" s="417" t="s">
        <v>95</v>
      </c>
      <c r="C154" s="424">
        <f>SUM(C150:C153)</f>
        <v>13104.761904761905</v>
      </c>
      <c r="D154" s="425">
        <f>SUM(D150:D153)</f>
        <v>275.2</v>
      </c>
      <c r="E154" s="386"/>
    </row>
    <row r="155" spans="1:5" ht="15.75" customHeight="1">
      <c r="A155" s="385"/>
      <c r="B155" s="386"/>
      <c r="C155" s="386"/>
      <c r="D155" s="386"/>
      <c r="E155" s="386"/>
    </row>
    <row r="156" spans="1:5" ht="15.75" customHeight="1">
      <c r="A156" s="410" t="s">
        <v>226</v>
      </c>
      <c r="B156" s="385"/>
      <c r="C156" s="385"/>
      <c r="D156" s="385"/>
      <c r="E156" s="385"/>
    </row>
    <row r="157" spans="1:5" ht="15.75" customHeight="1">
      <c r="A157" s="404" t="s">
        <v>209</v>
      </c>
      <c r="B157" s="390"/>
      <c r="C157" s="390"/>
      <c r="D157" s="411" t="s">
        <v>4</v>
      </c>
      <c r="E157" s="411" t="s">
        <v>270</v>
      </c>
    </row>
    <row r="158" spans="1:5" ht="15.75" customHeight="1">
      <c r="A158" s="890" t="s">
        <v>363</v>
      </c>
      <c r="B158" s="893"/>
      <c r="C158" s="894"/>
      <c r="D158" s="426">
        <v>5</v>
      </c>
      <c r="E158" s="416" t="s">
        <v>285</v>
      </c>
    </row>
    <row r="159" spans="1:5" ht="15.75" customHeight="1">
      <c r="A159" s="890" t="s">
        <v>367</v>
      </c>
      <c r="B159" s="891"/>
      <c r="C159" s="892"/>
      <c r="D159" s="427">
        <v>0.4</v>
      </c>
      <c r="E159" s="416" t="s">
        <v>285</v>
      </c>
    </row>
    <row r="160" spans="1:5" ht="15.75" customHeight="1">
      <c r="A160" s="890" t="s">
        <v>368</v>
      </c>
      <c r="B160" s="891"/>
      <c r="C160" s="892"/>
      <c r="D160" s="427">
        <v>42.5</v>
      </c>
      <c r="E160" s="416" t="s">
        <v>285</v>
      </c>
    </row>
    <row r="161" spans="1:5" ht="15.75" customHeight="1">
      <c r="A161" s="890" t="s">
        <v>369</v>
      </c>
      <c r="B161" s="891"/>
      <c r="C161" s="892"/>
      <c r="D161" s="427">
        <v>4.2</v>
      </c>
      <c r="E161" s="416" t="s">
        <v>285</v>
      </c>
    </row>
    <row r="162" spans="1:5" ht="15.75" customHeight="1">
      <c r="A162" s="890" t="s">
        <v>370</v>
      </c>
      <c r="B162" s="891"/>
      <c r="C162" s="892"/>
      <c r="D162" s="427">
        <v>50</v>
      </c>
      <c r="E162" s="416" t="s">
        <v>284</v>
      </c>
    </row>
    <row r="163" spans="1:5" ht="15.75" customHeight="1">
      <c r="A163" s="890" t="s">
        <v>371</v>
      </c>
      <c r="B163" s="891"/>
      <c r="C163" s="892"/>
      <c r="D163" s="427">
        <v>6</v>
      </c>
      <c r="E163" s="416" t="s">
        <v>285</v>
      </c>
    </row>
    <row r="164" spans="1:5" ht="15.75" customHeight="1">
      <c r="A164" s="890" t="s">
        <v>373</v>
      </c>
      <c r="B164" s="891"/>
      <c r="C164" s="892"/>
      <c r="D164" s="427">
        <v>36</v>
      </c>
      <c r="E164" s="416"/>
    </row>
    <row r="165" spans="1:5" ht="15.75" customHeight="1">
      <c r="A165" s="890" t="s">
        <v>372</v>
      </c>
      <c r="B165" s="891"/>
      <c r="C165" s="892"/>
      <c r="D165" s="427">
        <v>18</v>
      </c>
      <c r="E165" s="416"/>
    </row>
    <row r="166" spans="1:5" ht="15.75" customHeight="1">
      <c r="A166" s="428"/>
      <c r="B166" s="429"/>
      <c r="C166" s="430" t="s">
        <v>95</v>
      </c>
      <c r="D166" s="431">
        <f>SUM(D158:D165)</f>
        <v>162.1</v>
      </c>
      <c r="E166" s="386"/>
    </row>
    <row r="167" spans="1:5" ht="15.75" customHeight="1">
      <c r="A167" s="385"/>
      <c r="B167" s="385"/>
      <c r="C167" s="385"/>
      <c r="D167" s="385"/>
      <c r="E167" s="385"/>
    </row>
    <row r="168" spans="1:5" ht="15.75" customHeight="1">
      <c r="A168" s="394" t="s">
        <v>210</v>
      </c>
      <c r="B168" s="432"/>
      <c r="C168" s="432"/>
      <c r="D168" s="411" t="s">
        <v>4</v>
      </c>
      <c r="E168" s="411" t="s">
        <v>270</v>
      </c>
    </row>
    <row r="169" spans="1:5" ht="15.75" customHeight="1">
      <c r="A169" s="890" t="s">
        <v>364</v>
      </c>
      <c r="B169" s="893"/>
      <c r="C169" s="894"/>
      <c r="D169" s="426">
        <v>30</v>
      </c>
      <c r="E169" s="416" t="s">
        <v>284</v>
      </c>
    </row>
    <row r="170" spans="1:5" ht="15.75" customHeight="1">
      <c r="A170" s="890" t="s">
        <v>374</v>
      </c>
      <c r="B170" s="893"/>
      <c r="C170" s="894"/>
      <c r="D170" s="427">
        <v>12</v>
      </c>
      <c r="E170" s="416" t="s">
        <v>284</v>
      </c>
    </row>
    <row r="171" spans="1:5" ht="15.75" customHeight="1">
      <c r="A171" s="890" t="s">
        <v>375</v>
      </c>
      <c r="B171" s="891"/>
      <c r="C171" s="892"/>
      <c r="D171" s="427">
        <v>1.5</v>
      </c>
      <c r="E171" s="416" t="s">
        <v>285</v>
      </c>
    </row>
    <row r="172" spans="1:5" ht="15.75" customHeight="1">
      <c r="A172" s="890"/>
      <c r="B172" s="891"/>
      <c r="C172" s="892"/>
      <c r="D172" s="427"/>
      <c r="E172" s="416"/>
    </row>
    <row r="173" spans="1:5" ht="15.75" customHeight="1">
      <c r="A173" s="890" t="s">
        <v>376</v>
      </c>
      <c r="B173" s="891"/>
      <c r="C173" s="892"/>
      <c r="D173" s="427">
        <v>9</v>
      </c>
      <c r="E173" s="416" t="s">
        <v>285</v>
      </c>
    </row>
    <row r="174" spans="1:5" ht="15.75" customHeight="1">
      <c r="A174" s="890" t="s">
        <v>377</v>
      </c>
      <c r="B174" s="891"/>
      <c r="C174" s="892"/>
      <c r="D174" s="427">
        <v>41.5</v>
      </c>
      <c r="E174" s="416" t="s">
        <v>285</v>
      </c>
    </row>
    <row r="175" spans="1:5" ht="15.75" customHeight="1">
      <c r="A175" s="890" t="s">
        <v>365</v>
      </c>
      <c r="B175" s="891"/>
      <c r="C175" s="892"/>
      <c r="D175" s="427">
        <v>36</v>
      </c>
      <c r="E175" s="416" t="s">
        <v>285</v>
      </c>
    </row>
    <row r="176" spans="1:5" ht="15.75" customHeight="1">
      <c r="A176" s="890" t="s">
        <v>378</v>
      </c>
      <c r="B176" s="891"/>
      <c r="C176" s="892"/>
      <c r="D176" s="427">
        <v>24</v>
      </c>
      <c r="E176" s="416" t="s">
        <v>285</v>
      </c>
    </row>
    <row r="177" spans="1:5" ht="15.75" customHeight="1">
      <c r="A177" s="428"/>
      <c r="B177" s="429"/>
      <c r="C177" s="430" t="s">
        <v>95</v>
      </c>
      <c r="D177" s="431">
        <f>SUM(D169:D176)</f>
        <v>154</v>
      </c>
      <c r="E177" s="386"/>
    </row>
    <row r="178" spans="1:5" ht="15.75" customHeight="1">
      <c r="A178" s="385"/>
      <c r="B178" s="385"/>
      <c r="C178" s="385"/>
      <c r="D178" s="385"/>
      <c r="E178" s="385"/>
    </row>
    <row r="179" spans="1:5" ht="15.75" customHeight="1">
      <c r="A179" s="394" t="s">
        <v>269</v>
      </c>
      <c r="B179" s="432"/>
      <c r="C179" s="432"/>
      <c r="D179" s="432" t="s">
        <v>4</v>
      </c>
      <c r="E179" s="411" t="s">
        <v>270</v>
      </c>
    </row>
    <row r="180" spans="1:5" ht="15.75" customHeight="1">
      <c r="A180" s="890" t="s">
        <v>366</v>
      </c>
      <c r="B180" s="891"/>
      <c r="C180" s="892"/>
      <c r="D180" s="427">
        <v>50</v>
      </c>
      <c r="E180" s="416" t="s">
        <v>285</v>
      </c>
    </row>
    <row r="181" spans="1:5" ht="15.75" customHeight="1">
      <c r="A181" s="890"/>
      <c r="B181" s="891"/>
      <c r="C181" s="892"/>
      <c r="D181" s="433"/>
      <c r="E181" s="416"/>
    </row>
    <row r="182" spans="1:5" ht="15.75" customHeight="1">
      <c r="A182" s="385"/>
      <c r="B182" s="386"/>
      <c r="C182" s="430" t="s">
        <v>95</v>
      </c>
      <c r="D182" s="431">
        <f>SUM(D180:D181)</f>
        <v>50</v>
      </c>
      <c r="E182" s="386"/>
    </row>
    <row r="183" spans="1:5" ht="15.75" customHeight="1">
      <c r="A183" s="385"/>
      <c r="B183" s="386"/>
      <c r="C183" s="386"/>
      <c r="D183" s="386"/>
      <c r="E183" s="386"/>
    </row>
    <row r="184" spans="1:5" ht="15.75" customHeight="1">
      <c r="A184" s="394" t="s">
        <v>329</v>
      </c>
      <c r="B184" s="432"/>
      <c r="C184" s="432"/>
      <c r="D184" s="432" t="s">
        <v>4</v>
      </c>
      <c r="E184" s="386"/>
    </row>
    <row r="185" spans="1:5" ht="15.75" customHeight="1">
      <c r="A185" s="890"/>
      <c r="B185" s="891"/>
      <c r="C185" s="892"/>
      <c r="D185" s="433"/>
      <c r="E185" s="386"/>
    </row>
  </sheetData>
  <sheetProtection selectLockedCells="1"/>
  <mergeCells count="19">
    <mergeCell ref="A174:C174"/>
    <mergeCell ref="A175:C175"/>
    <mergeCell ref="A180:C180"/>
    <mergeCell ref="A181:C181"/>
    <mergeCell ref="A185:C185"/>
    <mergeCell ref="A176:C176"/>
    <mergeCell ref="A158:C158"/>
    <mergeCell ref="A159:C159"/>
    <mergeCell ref="A160:C160"/>
    <mergeCell ref="A161:C161"/>
    <mergeCell ref="A162:C162"/>
    <mergeCell ref="A171:C171"/>
    <mergeCell ref="A172:C172"/>
    <mergeCell ref="A173:C173"/>
    <mergeCell ref="A163:C163"/>
    <mergeCell ref="A164:C164"/>
    <mergeCell ref="A165:C165"/>
    <mergeCell ref="A169:C169"/>
    <mergeCell ref="A170:C170"/>
  </mergeCells>
  <dataValidations disablePrompts="1" count="1">
    <dataValidation type="list" allowBlank="1" showInputMessage="1" showErrorMessage="1" sqref="E150:E153 E180:E181 E169:E176 E158:E165 E145">
      <formula1>$H$1:$H$2</formula1>
    </dataValidation>
  </dataValidations>
  <pageMargins left="0.23622047244094491" right="0.23622047244094491" top="0.74803149606299213" bottom="0.74803149606299213" header="0.31496062992125984" footer="0.31496062992125984"/>
  <pageSetup paperSize="9" scale="66" fitToHeight="0" orientation="landscape"/>
  <headerFooter>
    <oddFooter>&amp;R&amp;"Arial Narrow,Italic"&amp;8Created on: &amp;D</oddFooter>
    <evenFooter>&amp;R&amp;"Arial Narrow,Italic"&amp;8Created on: &amp;D</evenFooter>
    <firstFooter>&amp;R&amp;"Arial Narrow,Italic"&amp;8Created on: &amp;D</firstFooter>
  </headerFooter>
  <rowBreaks count="1" manualBreakCount="1">
    <brk id="47"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5541DA6F1F5F4F8AB477D7BA37467F" ma:contentTypeVersion="2" ma:contentTypeDescription="Create a new document." ma:contentTypeScope="" ma:versionID="2d145460fd5448ba074235c91327bcb8">
  <xsd:schema xmlns:xsd="http://www.w3.org/2001/XMLSchema" xmlns:xs="http://www.w3.org/2001/XMLSchema" xmlns:p="http://schemas.microsoft.com/office/2006/metadata/properties" xmlns:ns2="9956417d-f624-43c5-a862-242b3f78a31e" targetNamespace="http://schemas.microsoft.com/office/2006/metadata/properties" ma:root="true" ma:fieldsID="b1dc0de585576567f542b6e356e65599" ns2:_="">
    <xsd:import namespace="9956417d-f624-43c5-a862-242b3f78a31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6417d-f624-43c5-a862-242b3f78a31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F21EF2-F434-4B10-92DD-BCE92F92BEAF}">
  <ds:schemaRefs>
    <ds:schemaRef ds:uri="http://purl.org/dc/terms/"/>
    <ds:schemaRef ds:uri="http://schemas.microsoft.com/office/2006/metadata/properties"/>
    <ds:schemaRef ds:uri="http://schemas.microsoft.com/office/2006/documentManagement/types"/>
    <ds:schemaRef ds:uri="http://purl.org/dc/elements/1.1/"/>
    <ds:schemaRef ds:uri="9956417d-f624-43c5-a862-242b3f78a31e"/>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3B3485E-4D27-4C1C-8D7C-ED903871D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6417d-f624-43c5-a862-242b3f78a3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240813-07DA-479D-B4B1-B01BE68520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Contents</vt:lpstr>
      <vt:lpstr>Tables</vt:lpstr>
      <vt:lpstr>Inflation</vt:lpstr>
      <vt:lpstr>Grants</vt:lpstr>
      <vt:lpstr>DCF analysis</vt:lpstr>
      <vt:lpstr>Consol</vt:lpstr>
      <vt:lpstr>Cover</vt:lpstr>
      <vt:lpstr>1. Landuse</vt:lpstr>
      <vt:lpstr>2.  Scheme Wide</vt:lpstr>
      <vt:lpstr>3. Site Based</vt:lpstr>
      <vt:lpstr>4. Dev Phasing</vt:lpstr>
      <vt:lpstr>6. Baseline Appraisal</vt:lpstr>
      <vt:lpstr>8. Site Values</vt:lpstr>
      <vt:lpstr>'8. Site Values'!Print_Area</vt:lpstr>
      <vt:lpstr>Consol!Print_Area</vt:lpstr>
      <vt:lpstr>'4. Dev Phasing'!Print_Titles</vt:lpstr>
      <vt:lpstr>'8. Site Values'!Print_Titles</vt:lpstr>
    </vt:vector>
  </TitlesOfParts>
  <Company>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Smith</dc:creator>
  <cp:lastModifiedBy>Johnson, Carolyn</cp:lastModifiedBy>
  <cp:lastPrinted>2019-07-25T18:12:07Z</cp:lastPrinted>
  <dcterms:created xsi:type="dcterms:W3CDTF">2014-02-12T11:08:23Z</dcterms:created>
  <dcterms:modified xsi:type="dcterms:W3CDTF">2019-11-08T10:26:48Z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f7766b2c-de3e-4415-a3da-e827a9a8a76f</vt:lpwstr>
  </property>
  <property fmtid="{D5CDD505-2E9C-101B-9397-08002B2CF9AE}" pid="3" name="HCAGPMS">
    <vt:lpwstr>OFFICIAL</vt:lpwstr>
  </property>
  <property fmtid="{D5CDD505-2E9C-101B-9397-08002B2CF9AE}" pid="4" name="ContentTypeId">
    <vt:lpwstr>0x0101009F5541DA6F1F5F4F8AB477D7BA37467F</vt:lpwstr>
  </property>
</Properties>
</file>